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oYungHsiang/Documents/Nuclear Medicine/PROJECTS/First Strike/AOJNMB/Revision1/"/>
    </mc:Choice>
  </mc:AlternateContent>
  <xr:revisionPtr revIDLastSave="0" documentId="13_ncr:1_{FFB1F4EB-45F6-3E4C-A9EC-4326A2D396F0}" xr6:coauthVersionLast="47" xr6:coauthVersionMax="47" xr10:uidLastSave="{00000000-0000-0000-0000-000000000000}"/>
  <bookViews>
    <workbookView xWindow="0" yWindow="-21100" windowWidth="38400" windowHeight="21100" xr2:uid="{4B15DD23-28ED-004F-84E0-9E6BFA8A0803}"/>
  </bookViews>
  <sheets>
    <sheet name="Prescription" sheetId="4" r:id="rId1"/>
    <sheet name="Marrow" sheetId="3" r:id="rId2"/>
    <sheet name="Lung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4" l="1"/>
  <c r="H3" i="4"/>
  <c r="H2" i="4"/>
  <c r="H1" i="4"/>
  <c r="N22" i="3"/>
  <c r="N21" i="3"/>
  <c r="N18" i="3"/>
  <c r="N17" i="3"/>
  <c r="N14" i="3"/>
  <c r="N13" i="3"/>
  <c r="H48" i="4"/>
  <c r="K7" i="4"/>
  <c r="K6" i="4"/>
  <c r="K5" i="4"/>
  <c r="I7" i="4"/>
  <c r="I6" i="4"/>
  <c r="I5" i="4"/>
  <c r="C26" i="4"/>
  <c r="G4" i="5"/>
  <c r="G3" i="5"/>
  <c r="B5" i="3"/>
  <c r="B4" i="3"/>
  <c r="E19" i="5"/>
  <c r="E15" i="5"/>
  <c r="E14" i="5"/>
  <c r="E32" i="5"/>
  <c r="E28" i="5"/>
  <c r="E27" i="5"/>
  <c r="E8" i="5" l="1"/>
  <c r="C27" i="4" s="1"/>
  <c r="F6" i="3"/>
  <c r="E12" i="5" l="1"/>
  <c r="E17" i="5" s="1"/>
  <c r="B78" i="3"/>
  <c r="B76" i="3"/>
  <c r="B75" i="3"/>
  <c r="B74" i="3"/>
  <c r="B72" i="3"/>
  <c r="B70" i="3"/>
  <c r="B68" i="3"/>
  <c r="B77" i="3"/>
  <c r="B73" i="3"/>
  <c r="B71" i="3"/>
  <c r="B69" i="3"/>
  <c r="B67" i="3"/>
  <c r="E25" i="5"/>
  <c r="E29" i="5" s="1"/>
  <c r="C25" i="4"/>
  <c r="E30" i="5" l="1"/>
  <c r="E33" i="5" s="1"/>
  <c r="E34" i="5" l="1"/>
  <c r="B65" i="3"/>
  <c r="B49" i="3"/>
  <c r="B64" i="3"/>
  <c r="B56" i="3"/>
  <c r="B52" i="3"/>
  <c r="B48" i="3"/>
  <c r="B51" i="3"/>
  <c r="B63" i="3"/>
  <c r="B47" i="3"/>
  <c r="B60" i="3"/>
  <c r="B58" i="3"/>
  <c r="B53" i="3"/>
  <c r="B62" i="3"/>
  <c r="B46" i="3"/>
  <c r="B59" i="3"/>
  <c r="B55" i="3"/>
  <c r="B66" i="3"/>
  <c r="B61" i="3"/>
  <c r="B45" i="3"/>
  <c r="B57" i="3"/>
  <c r="B54" i="3"/>
  <c r="B50" i="3"/>
  <c r="B28" i="3"/>
  <c r="B44" i="3"/>
  <c r="B32" i="3"/>
  <c r="B17" i="3"/>
  <c r="B18" i="3"/>
  <c r="B19" i="3"/>
  <c r="B36" i="3"/>
  <c r="B37" i="3"/>
  <c r="B24" i="3"/>
  <c r="B27" i="3"/>
  <c r="B29" i="3"/>
  <c r="B16" i="3"/>
  <c r="B23" i="3"/>
  <c r="B30" i="3"/>
  <c r="B33" i="3"/>
  <c r="B34" i="3"/>
  <c r="B21" i="3"/>
  <c r="B38" i="3"/>
  <c r="B43" i="3"/>
  <c r="B31" i="3"/>
  <c r="B35" i="3"/>
  <c r="B20" i="3"/>
  <c r="B22" i="3"/>
  <c r="B39" i="3"/>
  <c r="B40" i="3"/>
  <c r="B41" i="3"/>
  <c r="B25" i="3"/>
  <c r="B42" i="3"/>
  <c r="B26" i="3"/>
  <c r="B7" i="3"/>
  <c r="B6" i="3"/>
  <c r="A13" i="4" l="1"/>
  <c r="K25" i="4" s="1"/>
  <c r="N30" i="3"/>
  <c r="N29" i="3"/>
  <c r="N28" i="3"/>
  <c r="B8" i="3"/>
  <c r="L7" i="3" s="1"/>
  <c r="A17" i="4" s="1"/>
  <c r="E16" i="5"/>
  <c r="C74" i="3" l="1"/>
  <c r="D74" i="3" s="1"/>
  <c r="E74" i="3" s="1"/>
  <c r="C78" i="3"/>
  <c r="D78" i="3" s="1"/>
  <c r="E78" i="3" s="1"/>
  <c r="F69" i="3"/>
  <c r="G69" i="3" s="1"/>
  <c r="H69" i="3" s="1"/>
  <c r="C71" i="3"/>
  <c r="D71" i="3" s="1"/>
  <c r="E71" i="3" s="1"/>
  <c r="F78" i="3"/>
  <c r="G78" i="3" s="1"/>
  <c r="H78" i="3" s="1"/>
  <c r="I78" i="3"/>
  <c r="J78" i="3" s="1"/>
  <c r="K78" i="3" s="1"/>
  <c r="C73" i="3"/>
  <c r="D73" i="3" s="1"/>
  <c r="E73" i="3" s="1"/>
  <c r="C77" i="3"/>
  <c r="D77" i="3" s="1"/>
  <c r="E77" i="3" s="1"/>
  <c r="I73" i="3"/>
  <c r="J73" i="3" s="1"/>
  <c r="F68" i="3"/>
  <c r="G68" i="3" s="1"/>
  <c r="H68" i="3" s="1"/>
  <c r="C70" i="3"/>
  <c r="D70" i="3" s="1"/>
  <c r="E70" i="3" s="1"/>
  <c r="I68" i="3"/>
  <c r="J68" i="3" s="1"/>
  <c r="K68" i="3" s="1"/>
  <c r="F77" i="3"/>
  <c r="G77" i="3" s="1"/>
  <c r="H77" i="3" s="1"/>
  <c r="C75" i="3"/>
  <c r="D75" i="3" s="1"/>
  <c r="E75" i="3" s="1"/>
  <c r="C72" i="3"/>
  <c r="D72" i="3" s="1"/>
  <c r="E72" i="3" s="1"/>
  <c r="F70" i="3"/>
  <c r="G70" i="3" s="1"/>
  <c r="H70" i="3" s="1"/>
  <c r="I77" i="3"/>
  <c r="J77" i="3" s="1"/>
  <c r="K77" i="3" s="1"/>
  <c r="F75" i="3"/>
  <c r="G75" i="3" s="1"/>
  <c r="H75" i="3" s="1"/>
  <c r="F72" i="3"/>
  <c r="G72" i="3" s="1"/>
  <c r="H72" i="3" s="1"/>
  <c r="C67" i="3"/>
  <c r="D67" i="3" s="1"/>
  <c r="E67" i="3" s="1"/>
  <c r="I70" i="3"/>
  <c r="J70" i="3" s="1"/>
  <c r="K70" i="3" s="1"/>
  <c r="F67" i="3"/>
  <c r="G67" i="3" s="1"/>
  <c r="H67" i="3" s="1"/>
  <c r="I75" i="3"/>
  <c r="J75" i="3" s="1"/>
  <c r="K75" i="3" s="1"/>
  <c r="I67" i="3"/>
  <c r="J67" i="3" s="1"/>
  <c r="K67" i="3" s="1"/>
  <c r="I72" i="3"/>
  <c r="J72" i="3" s="1"/>
  <c r="K72" i="3" s="1"/>
  <c r="C69" i="3"/>
  <c r="D69" i="3" s="1"/>
  <c r="E69" i="3" s="1"/>
  <c r="F74" i="3"/>
  <c r="G74" i="3" s="1"/>
  <c r="H74" i="3" s="1"/>
  <c r="C76" i="3"/>
  <c r="D76" i="3" s="1"/>
  <c r="E76" i="3" s="1"/>
  <c r="I74" i="3"/>
  <c r="J74" i="3" s="1"/>
  <c r="K74" i="3" s="1"/>
  <c r="I69" i="3"/>
  <c r="J69" i="3" s="1"/>
  <c r="K69" i="3" s="1"/>
  <c r="F71" i="3"/>
  <c r="G71" i="3" s="1"/>
  <c r="H71" i="3" s="1"/>
  <c r="F76" i="3"/>
  <c r="G76" i="3" s="1"/>
  <c r="H76" i="3" s="1"/>
  <c r="C68" i="3"/>
  <c r="D68" i="3" s="1"/>
  <c r="E68" i="3" s="1"/>
  <c r="I71" i="3"/>
  <c r="J71" i="3" s="1"/>
  <c r="K71" i="3" s="1"/>
  <c r="F73" i="3"/>
  <c r="G73" i="3" s="1"/>
  <c r="I76" i="3"/>
  <c r="J76" i="3" s="1"/>
  <c r="K76" i="3" s="1"/>
  <c r="C66" i="3"/>
  <c r="D66" i="3" s="1"/>
  <c r="E66" i="3" s="1"/>
  <c r="E20" i="5"/>
  <c r="E21" i="5" s="1"/>
  <c r="F28" i="3"/>
  <c r="G28" i="3" s="1"/>
  <c r="H28" i="3" s="1"/>
  <c r="C27" i="3"/>
  <c r="D27" i="3" s="1"/>
  <c r="E27" i="3" s="1"/>
  <c r="C42" i="3"/>
  <c r="D42" i="3" s="1"/>
  <c r="E42" i="3" s="1"/>
  <c r="F22" i="3"/>
  <c r="G22" i="3" s="1"/>
  <c r="H22" i="3" s="1"/>
  <c r="C25" i="3"/>
  <c r="D25" i="3" s="1"/>
  <c r="E25" i="3" s="1"/>
  <c r="F60" i="3"/>
  <c r="G60" i="3" s="1"/>
  <c r="H60" i="3" s="1"/>
  <c r="F47" i="3"/>
  <c r="G47" i="3" s="1"/>
  <c r="H47" i="3" s="1"/>
  <c r="I16" i="3"/>
  <c r="J16" i="3" s="1"/>
  <c r="K16" i="3" s="1"/>
  <c r="C47" i="3"/>
  <c r="D47" i="3" s="1"/>
  <c r="E47" i="3" s="1"/>
  <c r="F30" i="3"/>
  <c r="G30" i="3" s="1"/>
  <c r="H30" i="3" s="1"/>
  <c r="I26" i="3"/>
  <c r="J26" i="3" s="1"/>
  <c r="K26" i="3" s="1"/>
  <c r="F18" i="3"/>
  <c r="G18" i="3" s="1"/>
  <c r="H18" i="3" s="1"/>
  <c r="F24" i="3"/>
  <c r="G24" i="3" s="1"/>
  <c r="H24" i="3" s="1"/>
  <c r="F39" i="3"/>
  <c r="G39" i="3" s="1"/>
  <c r="H39" i="3" s="1"/>
  <c r="I18" i="3"/>
  <c r="J18" i="3" s="1"/>
  <c r="K18" i="3" s="1"/>
  <c r="C57" i="3"/>
  <c r="D57" i="3" s="1"/>
  <c r="E57" i="3" s="1"/>
  <c r="F33" i="3"/>
  <c r="G33" i="3" s="1"/>
  <c r="H33" i="3" s="1"/>
  <c r="I28" i="3"/>
  <c r="J28" i="3" s="1"/>
  <c r="K28" i="3" s="1"/>
  <c r="C60" i="3"/>
  <c r="D60" i="3" s="1"/>
  <c r="E60" i="3" s="1"/>
  <c r="F58" i="3"/>
  <c r="G58" i="3" s="1"/>
  <c r="H58" i="3" s="1"/>
  <c r="F19" i="3"/>
  <c r="G19" i="3" s="1"/>
  <c r="H19" i="3" s="1"/>
  <c r="C20" i="3"/>
  <c r="D20" i="3" s="1"/>
  <c r="E20" i="3" s="1"/>
  <c r="C55" i="3"/>
  <c r="D55" i="3" s="1"/>
  <c r="E55" i="3" s="1"/>
  <c r="I30" i="3"/>
  <c r="J30" i="3" s="1"/>
  <c r="K30" i="3" s="1"/>
  <c r="C19" i="3"/>
  <c r="D19" i="3" s="1"/>
  <c r="E19" i="3" s="1"/>
  <c r="F31" i="3"/>
  <c r="G31" i="3" s="1"/>
  <c r="H31" i="3" s="1"/>
  <c r="C34" i="3"/>
  <c r="D34" i="3" s="1"/>
  <c r="E34" i="3" s="1"/>
  <c r="C45" i="3"/>
  <c r="D45" i="3" s="1"/>
  <c r="E45" i="3" s="1"/>
  <c r="I48" i="3"/>
  <c r="J48" i="3" s="1"/>
  <c r="K48" i="3" s="1"/>
  <c r="F34" i="3"/>
  <c r="G34" i="3" s="1"/>
  <c r="H34" i="3" s="1"/>
  <c r="C35" i="3"/>
  <c r="D35" i="3" s="1"/>
  <c r="E35" i="3" s="1"/>
  <c r="I61" i="3"/>
  <c r="J61" i="3" s="1"/>
  <c r="K61" i="3" s="1"/>
  <c r="I29" i="3"/>
  <c r="J29" i="3" s="1"/>
  <c r="K29" i="3" s="1"/>
  <c r="I32" i="3"/>
  <c r="J32" i="3" s="1"/>
  <c r="K32" i="3" s="1"/>
  <c r="C17" i="3"/>
  <c r="D17" i="3" s="1"/>
  <c r="E17" i="3" s="1"/>
  <c r="I44" i="3"/>
  <c r="J44" i="3" s="1"/>
  <c r="K44" i="3" s="1"/>
  <c r="I65" i="3"/>
  <c r="J65" i="3" s="1"/>
  <c r="K65" i="3" s="1"/>
  <c r="C32" i="3"/>
  <c r="D32" i="3" s="1"/>
  <c r="E32" i="3" s="1"/>
  <c r="F40" i="3"/>
  <c r="G40" i="3" s="1"/>
  <c r="H40" i="3" s="1"/>
  <c r="I27" i="3"/>
  <c r="J27" i="3" s="1"/>
  <c r="K27" i="3" s="1"/>
  <c r="I60" i="3"/>
  <c r="J60" i="3" s="1"/>
  <c r="K60" i="3" s="1"/>
  <c r="C38" i="3"/>
  <c r="D38" i="3" s="1"/>
  <c r="E38" i="3" s="1"/>
  <c r="F41" i="3"/>
  <c r="G41" i="3" s="1"/>
  <c r="H41" i="3" s="1"/>
  <c r="C26" i="3"/>
  <c r="D26" i="3" s="1"/>
  <c r="E26" i="3" s="1"/>
  <c r="F63" i="3"/>
  <c r="G63" i="3" s="1"/>
  <c r="H63" i="3" s="1"/>
  <c r="C21" i="3"/>
  <c r="D21" i="3" s="1"/>
  <c r="E21" i="3" s="1"/>
  <c r="I56" i="3"/>
  <c r="J56" i="3" s="1"/>
  <c r="K56" i="3" s="1"/>
  <c r="I42" i="3"/>
  <c r="J42" i="3" s="1"/>
  <c r="K42" i="3" s="1"/>
  <c r="I37" i="3"/>
  <c r="J37" i="3" s="1"/>
  <c r="K37" i="3" s="1"/>
  <c r="C36" i="3"/>
  <c r="D36" i="3" s="1"/>
  <c r="E36" i="3" s="1"/>
  <c r="I38" i="3"/>
  <c r="J38" i="3" s="1"/>
  <c r="K38" i="3" s="1"/>
  <c r="F23" i="3"/>
  <c r="G23" i="3" s="1"/>
  <c r="H23" i="3" s="1"/>
  <c r="F50" i="3"/>
  <c r="G50" i="3" s="1"/>
  <c r="H50" i="3" s="1"/>
  <c r="C54" i="3"/>
  <c r="D54" i="3" s="1"/>
  <c r="E54" i="3" s="1"/>
  <c r="I58" i="3"/>
  <c r="J58" i="3" s="1"/>
  <c r="K58" i="3" s="1"/>
  <c r="I51" i="3"/>
  <c r="J51" i="3" s="1"/>
  <c r="K51" i="3" s="1"/>
  <c r="F55" i="3"/>
  <c r="G55" i="3" s="1"/>
  <c r="H55" i="3" s="1"/>
  <c r="C46" i="3"/>
  <c r="D46" i="3" s="1"/>
  <c r="E46" i="3" s="1"/>
  <c r="C64" i="3"/>
  <c r="D64" i="3" s="1"/>
  <c r="E64" i="3" s="1"/>
  <c r="I43" i="3"/>
  <c r="J43" i="3" s="1"/>
  <c r="K43" i="3" s="1"/>
  <c r="I54" i="3"/>
  <c r="J54" i="3" s="1"/>
  <c r="K54" i="3" s="1"/>
  <c r="I45" i="3"/>
  <c r="J45" i="3" s="1"/>
  <c r="K45" i="3" s="1"/>
  <c r="C37" i="3"/>
  <c r="D37" i="3" s="1"/>
  <c r="E37" i="3" s="1"/>
  <c r="C31" i="3"/>
  <c r="D31" i="3" s="1"/>
  <c r="E31" i="3" s="1"/>
  <c r="F25" i="3"/>
  <c r="G25" i="3" s="1"/>
  <c r="H25" i="3" s="1"/>
  <c r="I47" i="3"/>
  <c r="J47" i="3" s="1"/>
  <c r="K47" i="3" s="1"/>
  <c r="C63" i="3"/>
  <c r="D63" i="3" s="1"/>
  <c r="E63" i="3" s="1"/>
  <c r="C43" i="3"/>
  <c r="D43" i="3" s="1"/>
  <c r="E43" i="3" s="1"/>
  <c r="F45" i="3"/>
  <c r="G45" i="3" s="1"/>
  <c r="H45" i="3" s="1"/>
  <c r="F54" i="3"/>
  <c r="G54" i="3" s="1"/>
  <c r="H54" i="3" s="1"/>
  <c r="C50" i="3"/>
  <c r="D50" i="3" s="1"/>
  <c r="E50" i="3" s="1"/>
  <c r="I64" i="3"/>
  <c r="J64" i="3" s="1"/>
  <c r="K64" i="3" s="1"/>
  <c r="F38" i="3"/>
  <c r="G38" i="3" s="1"/>
  <c r="H38" i="3" s="1"/>
  <c r="I36" i="3"/>
  <c r="J36" i="3" s="1"/>
  <c r="K36" i="3" s="1"/>
  <c r="C48" i="3"/>
  <c r="D48" i="3" s="1"/>
  <c r="E48" i="3" s="1"/>
  <c r="F64" i="3"/>
  <c r="G64" i="3" s="1"/>
  <c r="H64" i="3" s="1"/>
  <c r="I55" i="3"/>
  <c r="J55" i="3" s="1"/>
  <c r="K55" i="3" s="1"/>
  <c r="C51" i="3"/>
  <c r="D51" i="3" s="1"/>
  <c r="E51" i="3" s="1"/>
  <c r="F51" i="3"/>
  <c r="G51" i="3" s="1"/>
  <c r="H51" i="3" s="1"/>
  <c r="F29" i="3"/>
  <c r="G29" i="3" s="1"/>
  <c r="H29" i="3" s="1"/>
  <c r="C58" i="3"/>
  <c r="D58" i="3" s="1"/>
  <c r="E58" i="3" s="1"/>
  <c r="F17" i="3"/>
  <c r="G17" i="3" s="1"/>
  <c r="H17" i="3" s="1"/>
  <c r="I19" i="3"/>
  <c r="J19" i="3" s="1"/>
  <c r="K19" i="3" s="1"/>
  <c r="C23" i="3"/>
  <c r="D23" i="3" s="1"/>
  <c r="E23" i="3" s="1"/>
  <c r="I52" i="3"/>
  <c r="J52" i="3" s="1"/>
  <c r="K52" i="3" s="1"/>
  <c r="F32" i="3"/>
  <c r="G32" i="3" s="1"/>
  <c r="H32" i="3" s="1"/>
  <c r="I22" i="3"/>
  <c r="J22" i="3" s="1"/>
  <c r="K22" i="3" s="1"/>
  <c r="F43" i="3"/>
  <c r="G43" i="3" s="1"/>
  <c r="H43" i="3" s="1"/>
  <c r="C41" i="3"/>
  <c r="D41" i="3" s="1"/>
  <c r="E41" i="3" s="1"/>
  <c r="I25" i="3"/>
  <c r="J25" i="3" s="1"/>
  <c r="K25" i="3" s="1"/>
  <c r="F36" i="3"/>
  <c r="G36" i="3" s="1"/>
  <c r="H36" i="3" s="1"/>
  <c r="I59" i="3"/>
  <c r="J59" i="3" s="1"/>
  <c r="K59" i="3" s="1"/>
  <c r="C52" i="3"/>
  <c r="D52" i="3" s="1"/>
  <c r="E52" i="3" s="1"/>
  <c r="F49" i="3"/>
  <c r="G49" i="3" s="1"/>
  <c r="H49" i="3" s="1"/>
  <c r="F65" i="3"/>
  <c r="G65" i="3" s="1"/>
  <c r="H65" i="3" s="1"/>
  <c r="I35" i="3"/>
  <c r="J35" i="3" s="1"/>
  <c r="K35" i="3" s="1"/>
  <c r="F61" i="3"/>
  <c r="G61" i="3" s="1"/>
  <c r="H61" i="3" s="1"/>
  <c r="I41" i="3"/>
  <c r="J41" i="3" s="1"/>
  <c r="K41" i="3" s="1"/>
  <c r="I49" i="3"/>
  <c r="J49" i="3" s="1"/>
  <c r="K49" i="3" s="1"/>
  <c r="C18" i="3"/>
  <c r="D18" i="3" s="1"/>
  <c r="E18" i="3" s="1"/>
  <c r="I21" i="3"/>
  <c r="J21" i="3" s="1"/>
  <c r="K21" i="3" s="1"/>
  <c r="I24" i="3"/>
  <c r="J24" i="3" s="1"/>
  <c r="K24" i="3" s="1"/>
  <c r="C40" i="3"/>
  <c r="D40" i="3" s="1"/>
  <c r="E40" i="3" s="1"/>
  <c r="F27" i="3"/>
  <c r="G27" i="3" s="1"/>
  <c r="H27" i="3" s="1"/>
  <c r="F20" i="3"/>
  <c r="G20" i="3" s="1"/>
  <c r="H20" i="3" s="1"/>
  <c r="C65" i="3"/>
  <c r="D65" i="3" s="1"/>
  <c r="E65" i="3" s="1"/>
  <c r="F56" i="3"/>
  <c r="G56" i="3" s="1"/>
  <c r="C56" i="3"/>
  <c r="D56" i="3" s="1"/>
  <c r="E56" i="3" s="1"/>
  <c r="F46" i="3"/>
  <c r="G46" i="3" s="1"/>
  <c r="H46" i="3" s="1"/>
  <c r="C39" i="3"/>
  <c r="D39" i="3" s="1"/>
  <c r="E39" i="3" s="1"/>
  <c r="A18" i="4" s="1"/>
  <c r="C61" i="3"/>
  <c r="D61" i="3" s="1"/>
  <c r="E61" i="3" s="1"/>
  <c r="C30" i="3"/>
  <c r="D30" i="3" s="1"/>
  <c r="E30" i="3" s="1"/>
  <c r="F44" i="3"/>
  <c r="G44" i="3" s="1"/>
  <c r="H44" i="3" s="1"/>
  <c r="F48" i="3"/>
  <c r="G48" i="3" s="1"/>
  <c r="H48" i="3" s="1"/>
  <c r="C33" i="3"/>
  <c r="D33" i="3" s="1"/>
  <c r="E33" i="3" s="1"/>
  <c r="C22" i="3"/>
  <c r="D22" i="3" s="1"/>
  <c r="E22" i="3" s="1"/>
  <c r="C29" i="3"/>
  <c r="D29" i="3" s="1"/>
  <c r="E29" i="3" s="1"/>
  <c r="C24" i="3"/>
  <c r="D24" i="3" s="1"/>
  <c r="E24" i="3" s="1"/>
  <c r="C16" i="3"/>
  <c r="D16" i="3" s="1"/>
  <c r="E16" i="3" s="1"/>
  <c r="I33" i="3"/>
  <c r="J33" i="3" s="1"/>
  <c r="K33" i="3" s="1"/>
  <c r="I46" i="3"/>
  <c r="J46" i="3" s="1"/>
  <c r="K46" i="3" s="1"/>
  <c r="C59" i="3"/>
  <c r="D59" i="3" s="1"/>
  <c r="E59" i="3" s="1"/>
  <c r="F62" i="3"/>
  <c r="G62" i="3" s="1"/>
  <c r="H62" i="3" s="1"/>
  <c r="C49" i="3"/>
  <c r="D49" i="3" s="1"/>
  <c r="E49" i="3" s="1"/>
  <c r="F26" i="3"/>
  <c r="G26" i="3" s="1"/>
  <c r="H26" i="3" s="1"/>
  <c r="F42" i="3"/>
  <c r="G42" i="3" s="1"/>
  <c r="H42" i="3" s="1"/>
  <c r="F52" i="3"/>
  <c r="G52" i="3" s="1"/>
  <c r="H52" i="3" s="1"/>
  <c r="I62" i="3"/>
  <c r="J62" i="3" s="1"/>
  <c r="K62" i="3" s="1"/>
  <c r="F66" i="3"/>
  <c r="G66" i="3" s="1"/>
  <c r="H66" i="3" s="1"/>
  <c r="I53" i="3"/>
  <c r="J53" i="3" s="1"/>
  <c r="K53" i="3" s="1"/>
  <c r="F37" i="3"/>
  <c r="G37" i="3" s="1"/>
  <c r="H37" i="3" s="1"/>
  <c r="I20" i="3"/>
  <c r="J20" i="3" s="1"/>
  <c r="K20" i="3" s="1"/>
  <c r="F21" i="3"/>
  <c r="G21" i="3" s="1"/>
  <c r="H21" i="3" s="1"/>
  <c r="I23" i="3"/>
  <c r="J23" i="3" s="1"/>
  <c r="K23" i="3" s="1"/>
  <c r="F57" i="3"/>
  <c r="G57" i="3" s="1"/>
  <c r="H57" i="3" s="1"/>
  <c r="I66" i="3"/>
  <c r="J66" i="3" s="1"/>
  <c r="K66" i="3" s="1"/>
  <c r="F53" i="3"/>
  <c r="G53" i="3" s="1"/>
  <c r="H53" i="3" s="1"/>
  <c r="C62" i="3"/>
  <c r="D62" i="3" s="1"/>
  <c r="E62" i="3" s="1"/>
  <c r="I31" i="3"/>
  <c r="J31" i="3" s="1"/>
  <c r="K31" i="3" s="1"/>
  <c r="I17" i="3"/>
  <c r="J17" i="3" s="1"/>
  <c r="K17" i="3" s="1"/>
  <c r="F16" i="3"/>
  <c r="G16" i="3" s="1"/>
  <c r="H16" i="3" s="1"/>
  <c r="I39" i="3"/>
  <c r="J39" i="3" s="1"/>
  <c r="K39" i="3" s="1"/>
  <c r="F59" i="3"/>
  <c r="G59" i="3" s="1"/>
  <c r="H59" i="3" s="1"/>
  <c r="I40" i="3"/>
  <c r="J40" i="3" s="1"/>
  <c r="K40" i="3" s="1"/>
  <c r="F35" i="3"/>
  <c r="G35" i="3" s="1"/>
  <c r="H35" i="3" s="1"/>
  <c r="C44" i="3"/>
  <c r="D44" i="3" s="1"/>
  <c r="E44" i="3" s="1"/>
  <c r="I34" i="3"/>
  <c r="J34" i="3" s="1"/>
  <c r="K34" i="3" s="1"/>
  <c r="C28" i="3"/>
  <c r="D28" i="3" s="1"/>
  <c r="E28" i="3" s="1"/>
  <c r="I50" i="3"/>
  <c r="J50" i="3" s="1"/>
  <c r="K50" i="3" s="1"/>
  <c r="C53" i="3"/>
  <c r="D53" i="3" s="1"/>
  <c r="E53" i="3" s="1"/>
  <c r="I57" i="3"/>
  <c r="J57" i="3" s="1"/>
  <c r="K57" i="3" s="1"/>
  <c r="I63" i="3"/>
  <c r="J63" i="3" s="1"/>
  <c r="K63" i="3" s="1"/>
  <c r="A12" i="4" l="1"/>
  <c r="H25" i="4" s="1"/>
  <c r="N34" i="3"/>
  <c r="N33" i="3"/>
  <c r="N32" i="3"/>
  <c r="H56" i="3"/>
  <c r="A21" i="4" s="1"/>
  <c r="I43" i="4" s="1"/>
  <c r="H73" i="3"/>
  <c r="A22" i="4" s="1"/>
  <c r="K43" i="4" s="1"/>
  <c r="K73" i="3"/>
  <c r="A23" i="4" s="1"/>
  <c r="M43" i="4" s="1"/>
  <c r="H34" i="4"/>
  <c r="N26" i="3"/>
  <c r="N25" i="3"/>
  <c r="N24" i="3"/>
</calcChain>
</file>

<file path=xl/sharedStrings.xml><?xml version="1.0" encoding="utf-8"?>
<sst xmlns="http://schemas.openxmlformats.org/spreadsheetml/2006/main" count="220" uniqueCount="136">
  <si>
    <t>cm</t>
  </si>
  <si>
    <t>kg</t>
  </si>
  <si>
    <t>ml</t>
  </si>
  <si>
    <t>Gy/GBq</t>
  </si>
  <si>
    <t>BLOOD VOLUME ESTIMATION</t>
  </si>
  <si>
    <t>Height</t>
  </si>
  <si>
    <t>Weight</t>
  </si>
  <si>
    <t>Male</t>
  </si>
  <si>
    <t>Female</t>
  </si>
  <si>
    <t xml:space="preserve">Blood Vol. </t>
  </si>
  <si>
    <t>h</t>
  </si>
  <si>
    <t>mCi</t>
  </si>
  <si>
    <r>
      <t>𝝉</t>
    </r>
    <r>
      <rPr>
        <sz val="8"/>
        <color theme="1"/>
        <rFont val="Calibri (Body)"/>
      </rPr>
      <t xml:space="preserve"> </t>
    </r>
    <r>
      <rPr>
        <i/>
        <sz val="8"/>
        <color theme="1"/>
        <rFont val="Calibri (Body)"/>
      </rPr>
      <t>Blood</t>
    </r>
  </si>
  <si>
    <r>
      <rPr>
        <b/>
        <sz val="12"/>
        <color theme="1"/>
        <rFont val="Calibri"/>
        <family val="2"/>
        <scheme val="minor"/>
      </rPr>
      <t xml:space="preserve">S </t>
    </r>
    <r>
      <rPr>
        <sz val="8"/>
        <color theme="1"/>
        <rFont val="Calibri (Body)"/>
      </rPr>
      <t>Blood⟵ 𝛄Blood</t>
    </r>
  </si>
  <si>
    <r>
      <rPr>
        <b/>
        <sz val="12"/>
        <color theme="1"/>
        <rFont val="Calibri"/>
        <family val="2"/>
        <scheme val="minor"/>
      </rPr>
      <t xml:space="preserve">S </t>
    </r>
    <r>
      <rPr>
        <sz val="8"/>
        <color theme="1"/>
        <rFont val="Calibri (Body)"/>
      </rPr>
      <t>Blood⟵Blood</t>
    </r>
  </si>
  <si>
    <t xml:space="preserve">Gy </t>
  </si>
  <si>
    <r>
      <rPr>
        <b/>
        <i/>
        <sz val="12"/>
        <color theme="1"/>
        <rFont val="Calibri"/>
        <family val="2"/>
        <scheme val="minor"/>
      </rPr>
      <t>D</t>
    </r>
    <r>
      <rPr>
        <i/>
        <sz val="8"/>
        <color theme="1"/>
        <rFont val="Calibri (Body)"/>
      </rPr>
      <t>blood per GBq</t>
    </r>
  </si>
  <si>
    <t>I-131 limit</t>
  </si>
  <si>
    <t>1 S.D.</t>
  </si>
  <si>
    <t>2 S.D.</t>
  </si>
  <si>
    <t>Gy.ml/GBq.h</t>
  </si>
  <si>
    <t>Gy/GBq.h</t>
  </si>
  <si>
    <t>Chart Lines</t>
  </si>
  <si>
    <t>x-axis (h)</t>
  </si>
  <si>
    <t>y-axis (mCi)</t>
  </si>
  <si>
    <r>
      <t>i.e. 98% of all possible 𝝉</t>
    </r>
    <r>
      <rPr>
        <sz val="8"/>
        <color theme="1"/>
        <rFont val="Calibri (Body)"/>
      </rPr>
      <t xml:space="preserve"> TB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</si>
  <si>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i.e. 84% of all possible 𝝉 </t>
    </r>
    <r>
      <rPr>
        <sz val="8"/>
        <color theme="1"/>
        <rFont val="Calibri (Body)"/>
      </rPr>
      <t xml:space="preserve">TB </t>
    </r>
  </si>
  <si>
    <t>Gy</t>
  </si>
  <si>
    <t>Assumed % of Total Body activity in Lung</t>
  </si>
  <si>
    <t>%</t>
  </si>
  <si>
    <t>Lung I-131 activity at 48h</t>
  </si>
  <si>
    <t>Assumed Lung  𝝺</t>
  </si>
  <si>
    <r>
      <rPr>
        <sz val="12"/>
        <color theme="1"/>
        <rFont val="Calibri (Body)"/>
      </rPr>
      <t>h</t>
    </r>
    <r>
      <rPr>
        <sz val="11"/>
        <color theme="1"/>
        <rFont val="Calibri"/>
        <family val="2"/>
        <scheme val="minor"/>
      </rPr>
      <t xml:space="preserve"> </t>
    </r>
    <r>
      <rPr>
        <vertAlign val="superscript"/>
        <sz val="11"/>
        <color theme="1"/>
        <rFont val="Calibri (Body)"/>
      </rPr>
      <t>-1</t>
    </r>
  </si>
  <si>
    <t>mCi at 48h</t>
  </si>
  <si>
    <t>ICRP Standard Female:</t>
  </si>
  <si>
    <t>Patient:</t>
  </si>
  <si>
    <t>scaled by patient height (not weight)</t>
  </si>
  <si>
    <t>Song et al. J Nucl Med 2006; 47:1985–1994</t>
  </si>
  <si>
    <t>Sgouros et al. J Nucl Med 2006; 47:1977–1984</t>
  </si>
  <si>
    <t>Dose limit</t>
  </si>
  <si>
    <t>Marrow dose constraint</t>
  </si>
  <si>
    <t>Surname</t>
  </si>
  <si>
    <t>Given name</t>
  </si>
  <si>
    <t>Gender</t>
  </si>
  <si>
    <t>Date of Birth</t>
  </si>
  <si>
    <r>
      <t xml:space="preserve">DOSIMETRIC ENGINE - </t>
    </r>
    <r>
      <rPr>
        <b/>
        <u/>
        <sz val="12"/>
        <color rgb="FFFF0000"/>
        <rFont val="Calibri (Body)"/>
      </rPr>
      <t>DO NOT</t>
    </r>
    <r>
      <rPr>
        <b/>
        <u/>
        <sz val="12"/>
        <color theme="1"/>
        <rFont val="Calibri"/>
        <family val="2"/>
        <scheme val="minor"/>
      </rPr>
      <t xml:space="preserve"> CHANGE ANY PARAMETERS</t>
    </r>
  </si>
  <si>
    <t>Lung activity constraint</t>
  </si>
  <si>
    <t>Established safe limit of lung tolerance for Standard Female:</t>
  </si>
  <si>
    <t>Diffuse Lung Metastases</t>
  </si>
  <si>
    <r>
      <t xml:space="preserve">Lung </t>
    </r>
    <r>
      <rPr>
        <b/>
        <sz val="12"/>
        <color theme="1"/>
        <rFont val="Calibri"/>
        <family val="2"/>
        <scheme val="minor"/>
      </rPr>
      <t>A</t>
    </r>
    <r>
      <rPr>
        <sz val="8"/>
        <color theme="1"/>
        <rFont val="Calibri (Body)"/>
      </rPr>
      <t>o</t>
    </r>
  </si>
  <si>
    <r>
      <t>Assumed Lung</t>
    </r>
    <r>
      <rPr>
        <b/>
        <sz val="12"/>
        <color theme="1"/>
        <rFont val="Calibri"/>
        <family val="2"/>
        <scheme val="minor"/>
      </rPr>
      <t xml:space="preserve"> T</t>
    </r>
    <r>
      <rPr>
        <i/>
        <sz val="8"/>
        <color theme="1"/>
        <rFont val="Calibri (Body)"/>
      </rPr>
      <t>1/2</t>
    </r>
  </si>
  <si>
    <t>Remainder-of-Body I-131 activity at 48h</t>
  </si>
  <si>
    <t>Assumed Remainder-of-Body  𝝺</t>
  </si>
  <si>
    <r>
      <t>Worst case Lung</t>
    </r>
    <r>
      <rPr>
        <b/>
        <sz val="12"/>
        <color theme="1"/>
        <rFont val="Calibri"/>
        <family val="2"/>
        <scheme val="minor"/>
      </rPr>
      <t xml:space="preserve"> T</t>
    </r>
    <r>
      <rPr>
        <i/>
        <sz val="8"/>
        <color theme="1"/>
        <rFont val="Calibri (Body)"/>
      </rPr>
      <t>1/2</t>
    </r>
  </si>
  <si>
    <t>Worst case Lung  𝝺</t>
  </si>
  <si>
    <r>
      <t xml:space="preserve">Remainder-of-Body </t>
    </r>
    <r>
      <rPr>
        <b/>
        <sz val="12"/>
        <color theme="1"/>
        <rFont val="Calibri"/>
        <family val="2"/>
        <scheme val="minor"/>
      </rPr>
      <t>A</t>
    </r>
    <r>
      <rPr>
        <sz val="8"/>
        <color theme="1"/>
        <rFont val="Calibri (Body)"/>
      </rPr>
      <t>o</t>
    </r>
  </si>
  <si>
    <t>© Dr YH Kao</t>
  </si>
  <si>
    <t>due to Blood</t>
  </si>
  <si>
    <t>Mean</t>
  </si>
  <si>
    <t>i.e. Maximum prescription in diffuse lung metastases</t>
  </si>
  <si>
    <t>i.e. Maximum prescription in worst case lung metastases</t>
  </si>
  <si>
    <t>Gy/h</t>
  </si>
  <si>
    <t>MARROW DOSE RATE CONSTRAINT</t>
  </si>
  <si>
    <t>MARROW DOSE CONSTRAINT</t>
  </si>
  <si>
    <t>% of 𝝉 WB</t>
  </si>
  <si>
    <r>
      <t>𝝉</t>
    </r>
    <r>
      <rPr>
        <sz val="8"/>
        <color theme="1"/>
        <rFont val="Calibri (Body)"/>
      </rPr>
      <t xml:space="preserve"> WB</t>
    </r>
  </si>
  <si>
    <t>WB 𝛄 Dose</t>
  </si>
  <si>
    <t>Shortest possible 𝝉 WB</t>
  </si>
  <si>
    <t>Lowest possible % attributed to Blood</t>
  </si>
  <si>
    <t>Maximum safe marrow dose rate</t>
  </si>
  <si>
    <t>Max I-131 activity constrained by dose rate</t>
  </si>
  <si>
    <t>Marrow dose rate constraint</t>
  </si>
  <si>
    <t>FOR INOPERABLE METASTATIC DIFFERENTIATED THYROID CANCER</t>
  </si>
  <si>
    <t>FIRST STRIKE PERSONALISED PREDICTIVE RADIOIODINE (I-131) PRESCRIPTION</t>
  </si>
  <si>
    <t>v280322</t>
  </si>
  <si>
    <r>
      <t xml:space="preserve">i.e. 50% of all possible 𝝉 </t>
    </r>
    <r>
      <rPr>
        <sz val="8"/>
        <color theme="1"/>
        <rFont val="Calibri (Body)"/>
      </rPr>
      <t xml:space="preserve">TB </t>
    </r>
  </si>
  <si>
    <t>i.e. marrow dose rate constraint</t>
  </si>
  <si>
    <t>Worst case Lung 𝝉 in diffuse lung metastases</t>
  </si>
  <si>
    <t>Assumed Remainder-of-Body  𝝉</t>
  </si>
  <si>
    <t>Assumed Lung 𝝉 in diffuse lung metastases</t>
  </si>
  <si>
    <t>Maximum safe I-131 in diffuse lung metastases</t>
  </si>
  <si>
    <t>Maximum safe I-131 in worst case lung metastases</t>
  </si>
  <si>
    <t>Where blood is surrogate for marrow</t>
  </si>
  <si>
    <r>
      <t xml:space="preserve">Where blood TIAC is normalised to </t>
    </r>
    <r>
      <rPr>
        <b/>
        <i/>
        <sz val="12"/>
        <color theme="1"/>
        <rFont val="Calibri"/>
        <family val="2"/>
        <scheme val="minor"/>
      </rPr>
      <t>A</t>
    </r>
    <r>
      <rPr>
        <i/>
        <sz val="12"/>
        <color theme="1"/>
        <rFont val="Calibri (Body)"/>
      </rPr>
      <t>o</t>
    </r>
  </si>
  <si>
    <t>Whole body retained activity at 48h</t>
  </si>
  <si>
    <r>
      <t xml:space="preserve">If </t>
    </r>
    <r>
      <rPr>
        <b/>
        <sz val="12"/>
        <color theme="1"/>
        <rFont val="Calibri"/>
        <family val="2"/>
        <scheme val="minor"/>
      </rPr>
      <t>EXTENSIVE</t>
    </r>
    <r>
      <rPr>
        <sz val="12"/>
        <color theme="1"/>
        <rFont val="Calibri"/>
        <family val="2"/>
        <scheme val="minor"/>
      </rPr>
      <t xml:space="preserve"> soft tissue and/or bone metastases is clinically suspected:</t>
    </r>
  </si>
  <si>
    <r>
      <t xml:space="preserve">If diffuse lung metastases is clinically unlikely (i.e. lung is not the dose limiting organ), </t>
    </r>
    <r>
      <rPr>
        <b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>;</t>
    </r>
  </si>
  <si>
    <r>
      <t xml:space="preserve">If the patient is clinically suspected to have </t>
    </r>
    <r>
      <rPr>
        <b/>
        <sz val="12"/>
        <color theme="1"/>
        <rFont val="Calibri"/>
        <family val="2"/>
        <scheme val="minor"/>
      </rPr>
      <t>oligometastasis</t>
    </r>
    <r>
      <rPr>
        <sz val="12"/>
        <color theme="1"/>
        <rFont val="Calibri"/>
        <family val="2"/>
        <scheme val="minor"/>
      </rPr>
      <t xml:space="preserve"> with </t>
    </r>
    <r>
      <rPr>
        <b/>
        <sz val="12"/>
        <color theme="1"/>
        <rFont val="Calibri"/>
        <family val="2"/>
        <scheme val="minor"/>
      </rPr>
      <t>average I-131 kinetics</t>
    </r>
    <r>
      <rPr>
        <sz val="12"/>
        <color theme="1"/>
        <rFont val="Calibri"/>
        <family val="2"/>
        <scheme val="minor"/>
      </rPr>
      <t>:</t>
    </r>
  </si>
  <si>
    <r>
      <t xml:space="preserve">Consider risks of lung </t>
    </r>
    <r>
      <rPr>
        <sz val="12"/>
        <color rgb="FFFF0000"/>
        <rFont val="Calibri (Body)"/>
      </rPr>
      <t>AND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marrow toxicity to prescribe according to the dose (Gy) limiting organ.</t>
    </r>
  </si>
  <si>
    <r>
      <t xml:space="preserve">Preparation: thyroid hormone withdrawal. </t>
    </r>
    <r>
      <rPr>
        <sz val="12"/>
        <color rgb="FFFF0000"/>
        <rFont val="Calibri (Body)"/>
      </rPr>
      <t>INVALID</t>
    </r>
    <r>
      <rPr>
        <sz val="12"/>
        <color theme="1"/>
        <rFont val="Calibri"/>
        <family val="2"/>
        <scheme val="minor"/>
      </rPr>
      <t xml:space="preserve"> in severe chronic kidney disease or paediatrics </t>
    </r>
  </si>
  <si>
    <t>* Likely inadequate for tumour control, unless palliative intent. Theranostic guidance recommended</t>
  </si>
  <si>
    <t>diffuse lung metastases</t>
  </si>
  <si>
    <t>Lung</t>
  </si>
  <si>
    <t>Marrow</t>
  </si>
  <si>
    <t>worst case lung metastases</t>
  </si>
  <si>
    <t>Is the dose limiting organ likely to be lung or marrow?</t>
  </si>
  <si>
    <t>and/or bone metastases likely to be?</t>
  </si>
  <si>
    <t>will likely be safe in</t>
  </si>
  <si>
    <t>Oligometastasis</t>
  </si>
  <si>
    <t>Mildly</t>
  </si>
  <si>
    <t>extensive</t>
  </si>
  <si>
    <t>Moderately</t>
  </si>
  <si>
    <t>Extensive</t>
  </si>
  <si>
    <t>Safe Whole Body retained I-131 activity</t>
  </si>
  <si>
    <t>Adjusted safe Whole Body retained I-131 activity</t>
  </si>
  <si>
    <t>i.e. assuming an average amount of other soft tissue and/or bone metastases are present</t>
  </si>
  <si>
    <t>Worst Case Lung Metastases</t>
  </si>
  <si>
    <t>GBq</t>
  </si>
  <si>
    <r>
      <t xml:space="preserve">GBq </t>
    </r>
    <r>
      <rPr>
        <sz val="12"/>
        <color rgb="FFFF0000"/>
        <rFont val="Calibri (Body)"/>
      </rPr>
      <t>*</t>
    </r>
  </si>
  <si>
    <t>constrained by marrow</t>
  </si>
  <si>
    <t>96% probability of marrow</t>
  </si>
  <si>
    <t>safety; likely safe in very</t>
  </si>
  <si>
    <t>extensive metastases</t>
  </si>
  <si>
    <t>How numerous are the soft tissue</t>
  </si>
  <si>
    <t>77% probability of marrow</t>
  </si>
  <si>
    <t>safety; likely safe in mildly</t>
  </si>
  <si>
    <t>84% probability of marrow</t>
  </si>
  <si>
    <t>safety; likely safe in</t>
  </si>
  <si>
    <t>moderately extensive</t>
  </si>
  <si>
    <t>metastases</t>
  </si>
  <si>
    <t>dose rate (Gy); likely safe</t>
  </si>
  <si>
    <t>in oligometastasis</t>
  </si>
  <si>
    <t>How extensive are the lung metastases likely to be?</t>
  </si>
  <si>
    <t>Likely diffuse</t>
  </si>
  <si>
    <t>Likely worst case</t>
  </si>
  <si>
    <t>Standard</t>
  </si>
  <si>
    <t>Highly</t>
  </si>
  <si>
    <t>GBq will likely be safe in diffuse lung metastases</t>
  </si>
  <si>
    <r>
      <t>GBq will likely be safe in worst case lung metastases</t>
    </r>
    <r>
      <rPr>
        <sz val="12"/>
        <color rgb="FFFF0000"/>
        <rFont val="Calibri (Body)"/>
      </rPr>
      <t>*</t>
    </r>
  </si>
  <si>
    <t>GBq constrained by marrow dose rate (Gy/h) is likely to be safe for oligometastasis</t>
  </si>
  <si>
    <r>
      <t xml:space="preserve">GBq constrained by marrow absorbed dose (Gy) might </t>
    </r>
    <r>
      <rPr>
        <sz val="12"/>
        <color rgb="FFFF0000"/>
        <rFont val="Calibri (Body)"/>
      </rPr>
      <t>exceed</t>
    </r>
    <r>
      <rPr>
        <sz val="12"/>
        <color theme="1"/>
        <rFont val="Calibri"/>
        <family val="2"/>
        <scheme val="minor"/>
      </rPr>
      <t xml:space="preserve"> safe dose rate (Gy/h)</t>
    </r>
  </si>
  <si>
    <r>
      <t>GBq: 84% probability of marrow safety (likely safe in moderately extensive mets)</t>
    </r>
    <r>
      <rPr>
        <sz val="12"/>
        <color rgb="FFFF0000"/>
        <rFont val="Calibri (Body)"/>
      </rPr>
      <t>*</t>
    </r>
  </si>
  <si>
    <t>GBq: 77% probability of marrow safety (likely safe in mildly extensive metastases)</t>
  </si>
  <si>
    <r>
      <t>GBq: 96% probability of marrow safety (likely safe in highly extensive metastases)</t>
    </r>
    <r>
      <rPr>
        <sz val="12"/>
        <color rgb="FFFF0000"/>
        <rFont val="Calibri (Body)"/>
      </rPr>
      <t>*</t>
    </r>
  </si>
  <si>
    <t>GBq at 48h</t>
  </si>
  <si>
    <t>© Dr Y.H. Kao MBBS MRCP FAMS FRACP FAANMS, Department of Nuclear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</si>
</sst>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yy;@"/>
    <numFmt numFmtId="166" formatCode="0.000"/>
  </numFmts>
  <fonts count="1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8"/>
      <color theme="1"/>
      <name val="Calibri (Body)"/>
    </font>
    <font>
      <sz val="8"/>
      <color theme="1"/>
      <name val="Calibri (Body)"/>
    </font>
    <font>
      <sz val="12"/>
      <color theme="1"/>
      <name val="Calibri (Body)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theme="1"/>
      <name val="Calibri (Body)"/>
    </font>
    <font>
      <b/>
      <u/>
      <sz val="12"/>
      <color rgb="FFFF0000"/>
      <name val="Calibri (Body)"/>
    </font>
    <font>
      <u/>
      <sz val="12"/>
      <color theme="1"/>
      <name val="Calibri"/>
      <family val="2"/>
      <scheme val="minor"/>
    </font>
    <font>
      <i/>
      <sz val="12"/>
      <color theme="1"/>
      <name val="Calibri (Body)"/>
    </font>
    <font>
      <sz val="12"/>
      <color rgb="FFFF0000"/>
      <name val="Calibri (Body)"/>
    </font>
    <font>
      <i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0" xfId="0" applyFont="1"/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/>
    <xf numFmtId="1" fontId="0" fillId="3" borderId="1" xfId="0" applyNumberForma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2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2" xfId="0" applyFont="1" applyBorder="1"/>
    <xf numFmtId="0" fontId="8" fillId="0" borderId="5" xfId="0" applyFont="1" applyBorder="1"/>
    <xf numFmtId="164" fontId="0" fillId="0" borderId="0" xfId="0" applyNumberFormat="1" applyAlignment="1">
      <alignment horizontal="center"/>
    </xf>
    <xf numFmtId="0" fontId="0" fillId="0" borderId="11" xfId="0" applyBorder="1" applyAlignment="1">
      <alignment horizontal="right"/>
    </xf>
    <xf numFmtId="0" fontId="12" fillId="0" borderId="2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4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4" borderId="0" xfId="0" applyFill="1"/>
    <xf numFmtId="0" fontId="0" fillId="6" borderId="0" xfId="0" applyFill="1"/>
    <xf numFmtId="0" fontId="0" fillId="6" borderId="0" xfId="0" applyFill="1" applyAlignment="1">
      <alignment horizontal="left"/>
    </xf>
    <xf numFmtId="164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0" fontId="0" fillId="5" borderId="0" xfId="0" applyFill="1" applyAlignment="1">
      <alignment horizontal="left"/>
    </xf>
    <xf numFmtId="0" fontId="0" fillId="5" borderId="0" xfId="0" applyFill="1"/>
    <xf numFmtId="1" fontId="0" fillId="5" borderId="0" xfId="0" applyNumberFormat="1" applyFill="1" applyAlignment="1">
      <alignment horizontal="center"/>
    </xf>
    <xf numFmtId="0" fontId="15" fillId="0" borderId="0" xfId="0" applyFont="1"/>
    <xf numFmtId="0" fontId="0" fillId="7" borderId="0" xfId="0" applyFill="1"/>
    <xf numFmtId="0" fontId="0" fillId="3" borderId="0" xfId="0" applyFill="1"/>
    <xf numFmtId="1" fontId="0" fillId="7" borderId="0" xfId="0" applyNumberFormat="1" applyFill="1" applyAlignment="1">
      <alignment horizontal="center"/>
    </xf>
    <xf numFmtId="165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" fontId="0" fillId="4" borderId="2" xfId="0" applyNumberFormat="1" applyFill="1" applyBorder="1"/>
    <xf numFmtId="0" fontId="0" fillId="4" borderId="3" xfId="0" applyFill="1" applyBorder="1"/>
    <xf numFmtId="0" fontId="0" fillId="4" borderId="5" xfId="0" applyFill="1" applyBorder="1"/>
    <xf numFmtId="1" fontId="0" fillId="6" borderId="2" xfId="0" applyNumberFormat="1" applyFill="1" applyBorder="1"/>
    <xf numFmtId="0" fontId="0" fillId="6" borderId="3" xfId="0" applyFill="1" applyBorder="1"/>
    <xf numFmtId="0" fontId="0" fillId="6" borderId="5" xfId="0" applyFill="1" applyBorder="1"/>
    <xf numFmtId="0" fontId="0" fillId="8" borderId="0" xfId="0" applyFill="1" applyAlignment="1">
      <alignment horizontal="left"/>
    </xf>
    <xf numFmtId="0" fontId="0" fillId="8" borderId="0" xfId="0" applyFill="1"/>
    <xf numFmtId="0" fontId="0" fillId="8" borderId="0" xfId="0" applyFill="1" applyAlignment="1">
      <alignment horizontal="center"/>
    </xf>
    <xf numFmtId="0" fontId="0" fillId="9" borderId="0" xfId="0" applyFill="1" applyAlignment="1">
      <alignment horizontal="left"/>
    </xf>
    <xf numFmtId="0" fontId="0" fillId="9" borderId="0" xfId="0" applyFill="1"/>
    <xf numFmtId="0" fontId="0" fillId="10" borderId="0" xfId="0" applyFill="1" applyAlignment="1">
      <alignment horizontal="left"/>
    </xf>
    <xf numFmtId="0" fontId="0" fillId="10" borderId="0" xfId="0" applyFill="1"/>
    <xf numFmtId="0" fontId="5" fillId="3" borderId="0" xfId="0" applyFont="1" applyFill="1" applyAlignment="1">
      <alignment horizontal="left"/>
    </xf>
    <xf numFmtId="0" fontId="5" fillId="3" borderId="0" xfId="0" applyFont="1" applyFill="1"/>
    <xf numFmtId="164" fontId="5" fillId="3" borderId="0" xfId="0" applyNumberFormat="1" applyFont="1" applyFill="1" applyAlignment="1">
      <alignment horizontal="center"/>
    </xf>
    <xf numFmtId="166" fontId="5" fillId="3" borderId="0" xfId="0" applyNumberFormat="1" applyFont="1" applyFill="1" applyAlignment="1">
      <alignment horizontal="center"/>
    </xf>
    <xf numFmtId="2" fontId="0" fillId="4" borderId="4" xfId="0" applyNumberFormat="1" applyFill="1" applyBorder="1"/>
    <xf numFmtId="2" fontId="0" fillId="6" borderId="4" xfId="0" applyNumberFormat="1" applyFill="1" applyBorder="1"/>
    <xf numFmtId="1" fontId="0" fillId="5" borderId="2" xfId="0" applyNumberFormat="1" applyFill="1" applyBorder="1"/>
    <xf numFmtId="0" fontId="0" fillId="5" borderId="3" xfId="0" applyFill="1" applyBorder="1"/>
    <xf numFmtId="2" fontId="0" fillId="5" borderId="4" xfId="0" applyNumberFormat="1" applyFill="1" applyBorder="1"/>
    <xf numFmtId="0" fontId="0" fillId="5" borderId="5" xfId="0" applyFill="1" applyBorder="1"/>
    <xf numFmtId="0" fontId="0" fillId="10" borderId="3" xfId="0" applyFill="1" applyBorder="1"/>
    <xf numFmtId="0" fontId="0" fillId="10" borderId="5" xfId="0" applyFill="1" applyBorder="1"/>
    <xf numFmtId="3" fontId="0" fillId="8" borderId="2" xfId="0" applyNumberFormat="1" applyFill="1" applyBorder="1"/>
    <xf numFmtId="2" fontId="0" fillId="8" borderId="4" xfId="0" applyNumberFormat="1" applyFill="1" applyBorder="1"/>
    <xf numFmtId="0" fontId="0" fillId="8" borderId="5" xfId="0" applyFill="1" applyBorder="1"/>
    <xf numFmtId="0" fontId="0" fillId="8" borderId="3" xfId="0" applyFill="1" applyBorder="1"/>
    <xf numFmtId="3" fontId="0" fillId="10" borderId="11" xfId="0" applyNumberFormat="1" applyFill="1" applyBorder="1"/>
    <xf numFmtId="2" fontId="0" fillId="10" borderId="0" xfId="0" applyNumberFormat="1" applyFill="1"/>
    <xf numFmtId="3" fontId="0" fillId="9" borderId="2" xfId="0" applyNumberFormat="1" applyFill="1" applyBorder="1"/>
    <xf numFmtId="0" fontId="0" fillId="9" borderId="3" xfId="0" applyFill="1" applyBorder="1"/>
    <xf numFmtId="2" fontId="0" fillId="9" borderId="4" xfId="0" applyNumberFormat="1" applyFill="1" applyBorder="1"/>
    <xf numFmtId="0" fontId="0" fillId="9" borderId="5" xfId="0" applyFill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2" fontId="0" fillId="4" borderId="1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2" fontId="16" fillId="7" borderId="0" xfId="0" applyNumberFormat="1" applyFont="1" applyFill="1" applyAlignment="1">
      <alignment horizontal="center"/>
    </xf>
    <xf numFmtId="4" fontId="0" fillId="8" borderId="1" xfId="0" applyNumberFormat="1" applyFill="1" applyBorder="1" applyAlignment="1">
      <alignment horizontal="center"/>
    </xf>
    <xf numFmtId="4" fontId="0" fillId="9" borderId="1" xfId="0" applyNumberFormat="1" applyFill="1" applyBorder="1" applyAlignment="1">
      <alignment horizontal="center"/>
    </xf>
    <xf numFmtId="4" fontId="0" fillId="10" borderId="1" xfId="0" applyNumberFormat="1" applyFill="1" applyBorder="1" applyAlignment="1">
      <alignment horizontal="center"/>
    </xf>
    <xf numFmtId="2" fontId="5" fillId="3" borderId="0" xfId="0" applyNumberFormat="1" applyFont="1" applyFill="1" applyAlignment="1">
      <alignment horizontal="center"/>
    </xf>
    <xf numFmtId="4" fontId="0" fillId="4" borderId="0" xfId="0" applyNumberFormat="1" applyFill="1" applyAlignment="1">
      <alignment horizontal="center"/>
    </xf>
    <xf numFmtId="4" fontId="0" fillId="5" borderId="0" xfId="0" applyNumberFormat="1" applyFill="1" applyAlignment="1">
      <alignment horizontal="center"/>
    </xf>
    <xf numFmtId="4" fontId="0" fillId="3" borderId="0" xfId="0" applyNumberFormat="1" applyFill="1" applyAlignment="1">
      <alignment horizontal="center"/>
    </xf>
    <xf numFmtId="2" fontId="0" fillId="0" borderId="12" xfId="0" applyNumberFormat="1" applyBorder="1" applyAlignment="1">
      <alignment horizontal="center"/>
    </xf>
    <xf numFmtId="4" fontId="0" fillId="4" borderId="1" xfId="0" applyNumberFormat="1" applyFill="1" applyBorder="1" applyAlignment="1">
      <alignment horizontal="center"/>
    </xf>
    <xf numFmtId="4" fontId="0" fillId="5" borderId="1" xfId="0" applyNumberFormat="1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sng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1100" b="0" u="sng" baseline="0">
                <a:solidFill>
                  <a:schemeClr val="tx1"/>
                </a:solidFill>
              </a:rPr>
              <a:t>First Strike Maximum Predicted Safe I-131 Constrained by Marrow and Lung</a:t>
            </a:r>
          </a:p>
        </c:rich>
      </c:tx>
      <c:layout>
        <c:manualLayout>
          <c:xMode val="edge"/>
          <c:yMode val="edge"/>
          <c:x val="0.15447425192677627"/>
          <c:y val="1.72083866160059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sng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748053593101585E-2"/>
          <c:y val="8.0272727272727273E-2"/>
          <c:w val="0.87803985297936726"/>
          <c:h val="0.81241614958257524"/>
        </c:manualLayout>
      </c:layout>
      <c:scatterChart>
        <c:scatterStyle val="smoothMarker"/>
        <c:varyColors val="0"/>
        <c:ser>
          <c:idx val="2"/>
          <c:order val="0"/>
          <c:tx>
            <c:v>Marrow Constraint 98% of all possibilities</c:v>
          </c:tx>
          <c:spPr>
            <a:ln w="127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2209308233664915"/>
                      <c:h val="9.00341803865425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0F73-7147-BF6D-DDAFAF6B8699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9134453970128928"/>
                      <c:h val="9.16408754178506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1297-E44B-A548-6491FB24B2C1}"/>
                </c:ext>
              </c:extLst>
            </c:dLbl>
            <c:dLbl>
              <c:idx val="3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542611682303914"/>
                      <c:h val="9.45775893397940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28AD-984F-BFCE-5E3157C602BF}"/>
                </c:ext>
              </c:extLst>
            </c:dLbl>
            <c:dLbl>
              <c:idx val="57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8AD-984F-BFCE-5E3157C602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Marrow!$A$16:$A$78</c:f>
              <c:numCache>
                <c:formatCode>General</c:formatCode>
                <c:ptCount val="6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33.5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42.4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50.5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67.5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</c:numCache>
            </c:numRef>
          </c:xVal>
          <c:yVal>
            <c:numRef>
              <c:f>Marrow!$K$16:$K$78</c:f>
              <c:numCache>
                <c:formatCode>#,##0.00</c:formatCode>
                <c:ptCount val="63"/>
                <c:pt idx="0">
                  <c:v>27.910998223364984</c:v>
                </c:pt>
                <c:pt idx="1">
                  <c:v>25.373634748513624</c:v>
                </c:pt>
                <c:pt idx="2">
                  <c:v>23.259165186137487</c:v>
                </c:pt>
                <c:pt idx="3">
                  <c:v>21.469998633357683</c:v>
                </c:pt>
                <c:pt idx="4">
                  <c:v>19.936427302403562</c:v>
                </c:pt>
                <c:pt idx="5">
                  <c:v>18.60733214890999</c:v>
                </c:pt>
                <c:pt idx="6">
                  <c:v>17.444373889603117</c:v>
                </c:pt>
                <c:pt idx="7">
                  <c:v>16.418234249038228</c:v>
                </c:pt>
                <c:pt idx="8">
                  <c:v>15.506110124091657</c:v>
                </c:pt>
                <c:pt idx="9">
                  <c:v>14.689999064928939</c:v>
                </c:pt>
                <c:pt idx="10">
                  <c:v>13.955499111682492</c:v>
                </c:pt>
                <c:pt idx="11">
                  <c:v>13.290951534935708</c:v>
                </c:pt>
                <c:pt idx="12">
                  <c:v>12.686817374256812</c:v>
                </c:pt>
                <c:pt idx="13">
                  <c:v>12.13521661885434</c:v>
                </c:pt>
                <c:pt idx="14">
                  <c:v>11.629582593068744</c:v>
                </c:pt>
                <c:pt idx="15">
                  <c:v>11.164399289345994</c:v>
                </c:pt>
                <c:pt idx="16">
                  <c:v>10.734999316678842</c:v>
                </c:pt>
                <c:pt idx="17">
                  <c:v>10.337406749394441</c:v>
                </c:pt>
                <c:pt idx="18">
                  <c:v>9.9682136512017809</c:v>
                </c:pt>
                <c:pt idx="19">
                  <c:v>9.6244821459879262</c:v>
                </c:pt>
                <c:pt idx="20">
                  <c:v>9.3036660744549948</c:v>
                </c:pt>
                <c:pt idx="21">
                  <c:v>9.0035478139887051</c:v>
                </c:pt>
                <c:pt idx="22">
                  <c:v>8.7221869448015585</c:v>
                </c:pt>
                <c:pt idx="23">
                  <c:v>8.3316412607059664</c:v>
                </c:pt>
                <c:pt idx="24">
                  <c:v>8.2091171245191141</c:v>
                </c:pt>
                <c:pt idx="25">
                  <c:v>7.9745709209614253</c:v>
                </c:pt>
                <c:pt idx="26">
                  <c:v>7.7530550620458287</c:v>
                </c:pt>
                <c:pt idx="27">
                  <c:v>7.5435130333418883</c:v>
                </c:pt>
                <c:pt idx="28">
                  <c:v>7.3449995324644695</c:v>
                </c:pt>
                <c:pt idx="29">
                  <c:v>7.1566662111192274</c:v>
                </c:pt>
                <c:pt idx="30">
                  <c:v>6.9777495558412461</c:v>
                </c:pt>
                <c:pt idx="31">
                  <c:v>6.8075605422841425</c:v>
                </c:pt>
                <c:pt idx="32">
                  <c:v>6.5827825998502325</c:v>
                </c:pt>
                <c:pt idx="33">
                  <c:v>6.4909298193872074</c:v>
                </c:pt>
                <c:pt idx="34">
                  <c:v>6.3434086871284059</c:v>
                </c:pt>
                <c:pt idx="35">
                  <c:v>6.2024440496366635</c:v>
                </c:pt>
                <c:pt idx="36">
                  <c:v>6.06760830942717</c:v>
                </c:pt>
                <c:pt idx="37">
                  <c:v>5.9385102602904229</c:v>
                </c:pt>
                <c:pt idx="38">
                  <c:v>5.8147912965343718</c:v>
                </c:pt>
                <c:pt idx="39">
                  <c:v>5.6961220864010169</c:v>
                </c:pt>
                <c:pt idx="40">
                  <c:v>5.5269303412603925</c:v>
                </c:pt>
                <c:pt idx="41">
                  <c:v>5.4727447496794088</c:v>
                </c:pt>
                <c:pt idx="42">
                  <c:v>5.3674996583394208</c:v>
                </c:pt>
                <c:pt idx="43">
                  <c:v>5.2662260798801865</c:v>
                </c:pt>
                <c:pt idx="44">
                  <c:v>5.1687033746972206</c:v>
                </c:pt>
                <c:pt idx="45">
                  <c:v>5.0747269497027254</c:v>
                </c:pt>
                <c:pt idx="46">
                  <c:v>4.9841068256008905</c:v>
                </c:pt>
                <c:pt idx="47">
                  <c:v>4.896666354976313</c:v>
                </c:pt>
                <c:pt idx="48">
                  <c:v>4.8122410729939631</c:v>
                </c:pt>
                <c:pt idx="49">
                  <c:v>4.7306776649771161</c:v>
                </c:pt>
                <c:pt idx="50">
                  <c:v>4.6518330372274974</c:v>
                </c:pt>
                <c:pt idx="51">
                  <c:v>4.5755734792401617</c:v>
                </c:pt>
                <c:pt idx="52">
                  <c:v>4.5017739069943525</c:v>
                </c:pt>
                <c:pt idx="53">
                  <c:v>4.4303171783119026</c:v>
                </c:pt>
                <c:pt idx="54">
                  <c:v>4.3610934724007793</c:v>
                </c:pt>
                <c:pt idx="55">
                  <c:v>4.2939997266715366</c:v>
                </c:pt>
                <c:pt idx="56">
                  <c:v>4.2289391247522712</c:v>
                </c:pt>
                <c:pt idx="57">
                  <c:v>4.1349626997577751</c:v>
                </c:pt>
                <c:pt idx="58">
                  <c:v>4.1045585622595571</c:v>
                </c:pt>
                <c:pt idx="59">
                  <c:v>4.0450722062847806</c:v>
                </c:pt>
                <c:pt idx="60">
                  <c:v>3.9872854604807126</c:v>
                </c:pt>
                <c:pt idx="61">
                  <c:v>3.9311265103330957</c:v>
                </c:pt>
                <c:pt idx="62">
                  <c:v>3.8765275310229144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7B8-4C4A-BF57-2A9E91D9D893}"/>
            </c:ext>
          </c:extLst>
        </c:ser>
        <c:ser>
          <c:idx val="3"/>
          <c:order val="1"/>
          <c:tx>
            <c:v>98% of all possible Whole Body TIAC</c:v>
          </c:tx>
          <c:spPr>
            <a:ln w="1270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9525" cap="rnd">
                <a:solidFill>
                  <a:srgbClr val="FF000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0B-B440-BEBB-F2080AD83781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361570032079769"/>
                      <c:h val="0.123871580111929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E0B-B440-BEBB-F2080AD837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Marrow!$M$12:$M$14</c:f>
              <c:numCache>
                <c:formatCode>General</c:formatCode>
                <c:ptCount val="3"/>
                <c:pt idx="0">
                  <c:v>67.5</c:v>
                </c:pt>
                <c:pt idx="1">
                  <c:v>67.5</c:v>
                </c:pt>
                <c:pt idx="2">
                  <c:v>67.5</c:v>
                </c:pt>
              </c:numCache>
            </c:numRef>
          </c:xVal>
          <c:yVal>
            <c:numRef>
              <c:f>Marrow!$N$12:$N$14</c:f>
              <c:numCache>
                <c:formatCode>0.00</c:formatCode>
                <c:ptCount val="3"/>
                <c:pt idx="0" formatCode="General">
                  <c:v>0</c:v>
                </c:pt>
                <c:pt idx="1">
                  <c:v>20.349999999999998</c:v>
                </c:pt>
                <c:pt idx="2">
                  <c:v>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7B8-4C4A-BF57-2A9E91D9D893}"/>
            </c:ext>
          </c:extLst>
        </c:ser>
        <c:ser>
          <c:idx val="8"/>
          <c:order val="2"/>
          <c:tx>
            <c:v>Marrow Constraint 84% of all possibilities</c:v>
          </c:tx>
          <c:spPr>
            <a:ln w="158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8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21425550389726525"/>
                      <c:h val="9.00341803865425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F73-7147-BF6D-DDAFAF6B8699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9520781875150958"/>
                      <c:h val="9.16408754178506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297-E44B-A548-6491FB24B2C1}"/>
                </c:ext>
              </c:extLst>
            </c:dLbl>
            <c:dLbl>
              <c:idx val="3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71443920741031"/>
                      <c:h val="9.76545124167171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28AD-984F-BFCE-5E3157C602BF}"/>
                </c:ext>
              </c:extLst>
            </c:dLbl>
            <c:dLbl>
              <c:idx val="4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8AD-984F-BFCE-5E3157C602BF}"/>
                </c:ext>
              </c:extLst>
            </c:dLbl>
            <c:dLbl>
              <c:idx val="57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8AD-984F-BFCE-5E3157C602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Marrow!$A$16:$A$78</c:f>
              <c:numCache>
                <c:formatCode>General</c:formatCode>
                <c:ptCount val="6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33.5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42.4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50.5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67.5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</c:numCache>
            </c:numRef>
          </c:xVal>
          <c:yVal>
            <c:numRef>
              <c:f>Marrow!$H$16:$H$78</c:f>
              <c:numCache>
                <c:formatCode>#,##0.00</c:formatCode>
                <c:ptCount val="63"/>
                <c:pt idx="0">
                  <c:v>34.192597970848745</c:v>
                </c:pt>
                <c:pt idx="1">
                  <c:v>31.084179973498863</c:v>
                </c:pt>
                <c:pt idx="2">
                  <c:v>28.493831642373962</c:v>
                </c:pt>
                <c:pt idx="3">
                  <c:v>26.301998439114421</c:v>
                </c:pt>
                <c:pt idx="4">
                  <c:v>24.423284264891965</c:v>
                </c:pt>
                <c:pt idx="5">
                  <c:v>22.795065313899165</c:v>
                </c:pt>
                <c:pt idx="6">
                  <c:v>21.370373731780468</c:v>
                </c:pt>
                <c:pt idx="7">
                  <c:v>20.113292924028677</c:v>
                </c:pt>
                <c:pt idx="8">
                  <c:v>18.99588776158264</c:v>
                </c:pt>
                <c:pt idx="9">
                  <c:v>17.996104195183552</c:v>
                </c:pt>
                <c:pt idx="10">
                  <c:v>17.096298985424372</c:v>
                </c:pt>
                <c:pt idx="11">
                  <c:v>16.282189509927974</c:v>
                </c:pt>
                <c:pt idx="12">
                  <c:v>15.542089986749431</c:v>
                </c:pt>
                <c:pt idx="13">
                  <c:v>14.866346943847281</c:v>
                </c:pt>
                <c:pt idx="14">
                  <c:v>14.246915821186981</c:v>
                </c:pt>
                <c:pt idx="15">
                  <c:v>13.677039188339501</c:v>
                </c:pt>
                <c:pt idx="16">
                  <c:v>13.15099921955721</c:v>
                </c:pt>
                <c:pt idx="17">
                  <c:v>12.663925174388424</c:v>
                </c:pt>
                <c:pt idx="18">
                  <c:v>12.211642132445983</c:v>
                </c:pt>
                <c:pt idx="19">
                  <c:v>11.790551024430604</c:v>
                </c:pt>
                <c:pt idx="20">
                  <c:v>11.397532656949583</c:v>
                </c:pt>
                <c:pt idx="21">
                  <c:v>11.029870313177016</c:v>
                </c:pt>
                <c:pt idx="22">
                  <c:v>10.685186865890234</c:v>
                </c:pt>
                <c:pt idx="23">
                  <c:v>10.206745662939925</c:v>
                </c:pt>
                <c:pt idx="24">
                  <c:v>10.056646462014339</c:v>
                </c:pt>
                <c:pt idx="25">
                  <c:v>9.7693137059567867</c:v>
                </c:pt>
                <c:pt idx="26">
                  <c:v>9.4979438807913201</c:v>
                </c:pt>
                <c:pt idx="27">
                  <c:v>9.2412426948239865</c:v>
                </c:pt>
                <c:pt idx="28">
                  <c:v>8.9980520975917759</c:v>
                </c:pt>
                <c:pt idx="29">
                  <c:v>8.7673328130381396</c:v>
                </c:pt>
                <c:pt idx="30">
                  <c:v>8.5481494927121862</c:v>
                </c:pt>
                <c:pt idx="31">
                  <c:v>8.3396580416704271</c:v>
                </c:pt>
                <c:pt idx="32">
                  <c:v>8.0642919742567809</c:v>
                </c:pt>
                <c:pt idx="33">
                  <c:v>7.951766969964825</c:v>
                </c:pt>
                <c:pt idx="34">
                  <c:v>7.7710449933747157</c:v>
                </c:pt>
                <c:pt idx="35">
                  <c:v>7.5983551046330566</c:v>
                </c:pt>
                <c:pt idx="36">
                  <c:v>7.4331734719236406</c:v>
                </c:pt>
                <c:pt idx="37">
                  <c:v>7.2750208448614364</c:v>
                </c:pt>
                <c:pt idx="38">
                  <c:v>7.1234579105934905</c:v>
                </c:pt>
                <c:pt idx="39">
                  <c:v>6.9780812185405612</c:v>
                </c:pt>
                <c:pt idx="40">
                  <c:v>6.7708114793759906</c:v>
                </c:pt>
                <c:pt idx="41">
                  <c:v>6.7044309746762245</c:v>
                </c:pt>
                <c:pt idx="42">
                  <c:v>6.5754996097786051</c:v>
                </c:pt>
                <c:pt idx="43">
                  <c:v>6.4514335794054247</c:v>
                </c:pt>
                <c:pt idx="44">
                  <c:v>6.3319625871942122</c:v>
                </c:pt>
                <c:pt idx="45">
                  <c:v>6.2168359946997729</c:v>
                </c:pt>
                <c:pt idx="46">
                  <c:v>6.1058210662229913</c:v>
                </c:pt>
                <c:pt idx="47">
                  <c:v>5.9987013983945179</c:v>
                </c:pt>
                <c:pt idx="48">
                  <c:v>5.895275512215302</c:v>
                </c:pt>
                <c:pt idx="49">
                  <c:v>5.795355588279449</c:v>
                </c:pt>
                <c:pt idx="50">
                  <c:v>5.6987663284747914</c:v>
                </c:pt>
                <c:pt idx="51">
                  <c:v>5.6053439296473364</c:v>
                </c:pt>
                <c:pt idx="52">
                  <c:v>5.5149351565885079</c:v>
                </c:pt>
                <c:pt idx="53">
                  <c:v>5.4273965033093257</c:v>
                </c:pt>
                <c:pt idx="54">
                  <c:v>5.342593432945117</c:v>
                </c:pt>
                <c:pt idx="55">
                  <c:v>5.2603996878228845</c:v>
                </c:pt>
                <c:pt idx="56">
                  <c:v>5.1806966622498107</c:v>
                </c:pt>
                <c:pt idx="57">
                  <c:v>5.0655700697553696</c:v>
                </c:pt>
                <c:pt idx="58">
                  <c:v>5.0283232310071693</c:v>
                </c:pt>
                <c:pt idx="59">
                  <c:v>4.9554489812824274</c:v>
                </c:pt>
                <c:pt idx="60">
                  <c:v>4.8846568529783934</c:v>
                </c:pt>
                <c:pt idx="61">
                  <c:v>4.8158588691336259</c:v>
                </c:pt>
                <c:pt idx="62">
                  <c:v>4.7489719403956601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F73-7147-BF6D-DDAFAF6B8699}"/>
            </c:ext>
          </c:extLst>
        </c:ser>
        <c:ser>
          <c:idx val="9"/>
          <c:order val="3"/>
          <c:tx>
            <c:v>84% of all possible Whole Body TIAC</c:v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9525" cap="rnd">
                <a:solidFill>
                  <a:srgbClr val="FF000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F73-7147-BF6D-DDAFAF6B8699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12700" cap="rnd">
                <a:solidFill>
                  <a:srgbClr val="FF000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192-CC4F-ADDC-BDB73459DD86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523142176733655"/>
                      <c:h val="0.126690687533685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F73-7147-BF6D-DDAFAF6B8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Marrow!$M$16:$M$18</c:f>
              <c:numCache>
                <c:formatCode>General</c:formatCode>
                <c:ptCount val="3"/>
                <c:pt idx="0">
                  <c:v>50.5</c:v>
                </c:pt>
                <c:pt idx="1">
                  <c:v>50.5</c:v>
                </c:pt>
                <c:pt idx="2">
                  <c:v>50.5</c:v>
                </c:pt>
              </c:numCache>
            </c:numRef>
          </c:xVal>
          <c:yVal>
            <c:numRef>
              <c:f>Marrow!$N$16:$N$18</c:f>
              <c:numCache>
                <c:formatCode>0.00</c:formatCode>
                <c:ptCount val="3"/>
                <c:pt idx="0" formatCode="General">
                  <c:v>0</c:v>
                </c:pt>
                <c:pt idx="1">
                  <c:v>20.349999999999998</c:v>
                </c:pt>
                <c:pt idx="2">
                  <c:v>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F73-7147-BF6D-DDAFAF6B8699}"/>
            </c:ext>
          </c:extLst>
        </c:ser>
        <c:ser>
          <c:idx val="1"/>
          <c:order val="4"/>
          <c:tx>
            <c:v>Worst Case Diffuse Lung Metastases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12700" cap="rnd">
                <a:solidFill>
                  <a:schemeClr val="accent6">
                    <a:lumMod val="7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C8F-FC46-B945-060651857281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12700" cap="rnd">
                <a:solidFill>
                  <a:schemeClr val="accent6">
                    <a:lumMod val="7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C8F-FC46-B945-06065185728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8F-FC46-B945-060651857281}"/>
                </c:ext>
              </c:extLst>
            </c:dLbl>
            <c:dLbl>
              <c:idx val="1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61598268032393"/>
                      <c:h val="9.208794669897030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1C8F-FC46-B945-0606518572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8F-FC46-B945-0606518572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1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Marrow!$M$28:$M$30</c:f>
              <c:numCache>
                <c:formatCode>General</c:formatCode>
                <c:ptCount val="3"/>
                <c:pt idx="0">
                  <c:v>15</c:v>
                </c:pt>
                <c:pt idx="1">
                  <c:v>33</c:v>
                </c:pt>
                <c:pt idx="2">
                  <c:v>72</c:v>
                </c:pt>
              </c:numCache>
            </c:numRef>
          </c:xVal>
          <c:yVal>
            <c:numRef>
              <c:f>Marrow!$N$28:$N$30</c:f>
              <c:numCache>
                <c:formatCode>0.00</c:formatCode>
                <c:ptCount val="3"/>
                <c:pt idx="0">
                  <c:v>4.4227149493363331</c:v>
                </c:pt>
                <c:pt idx="1">
                  <c:v>4.4227149493363331</c:v>
                </c:pt>
                <c:pt idx="2">
                  <c:v>4.4227149493363331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C8F-FC46-B945-060651857281}"/>
            </c:ext>
          </c:extLst>
        </c:ser>
        <c:ser>
          <c:idx val="0"/>
          <c:order val="5"/>
          <c:tx>
            <c:v>Diffuse Lung Metastases</c:v>
          </c:tx>
          <c:spPr>
            <a:ln w="254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15875" cap="rnd">
                <a:solidFill>
                  <a:schemeClr val="accent6">
                    <a:lumMod val="75000"/>
                  </a:schemeClr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1297-E44B-A548-6491FB24B2C1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15875" cap="rnd">
                <a:solidFill>
                  <a:schemeClr val="accent6">
                    <a:lumMod val="75000"/>
                  </a:schemeClr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1297-E44B-A548-6491FB24B2C1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588982019468579"/>
                      <c:h val="9.45417646134344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1297-E44B-A548-6491FB24B2C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297-E44B-A548-6491FB24B2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Marrow!$M$32:$M$34</c:f>
              <c:numCache>
                <c:formatCode>General</c:formatCode>
                <c:ptCount val="3"/>
                <c:pt idx="0">
                  <c:v>15</c:v>
                </c:pt>
                <c:pt idx="1">
                  <c:v>33</c:v>
                </c:pt>
                <c:pt idx="2">
                  <c:v>72</c:v>
                </c:pt>
              </c:numCache>
            </c:numRef>
          </c:xVal>
          <c:yVal>
            <c:numRef>
              <c:f>Marrow!$N$32:$N$34</c:f>
              <c:numCache>
                <c:formatCode>0.00</c:formatCode>
                <c:ptCount val="3"/>
                <c:pt idx="0">
                  <c:v>5.7856253257435846</c:v>
                </c:pt>
                <c:pt idx="1">
                  <c:v>5.7856253257435846</c:v>
                </c:pt>
                <c:pt idx="2">
                  <c:v>5.7856253257435846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1297-E44B-A548-6491FB24B2C1}"/>
            </c:ext>
          </c:extLst>
        </c:ser>
        <c:ser>
          <c:idx val="4"/>
          <c:order val="6"/>
          <c:tx>
            <c:v>50% of all possible Whole Body TIAC</c:v>
          </c:tx>
          <c:spPr>
            <a:ln w="952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46485666357361"/>
                      <c:h val="0.103722943722943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532E-804B-B2C2-DB150BE2D0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Marrow!$M$20:$M$22</c:f>
              <c:numCache>
                <c:formatCode>General</c:formatCode>
                <c:ptCount val="3"/>
                <c:pt idx="0">
                  <c:v>33.5</c:v>
                </c:pt>
                <c:pt idx="1">
                  <c:v>33.5</c:v>
                </c:pt>
                <c:pt idx="2">
                  <c:v>33.5</c:v>
                </c:pt>
              </c:numCache>
            </c:numRef>
          </c:xVal>
          <c:yVal>
            <c:numRef>
              <c:f>Marrow!$N$20:$N$22</c:f>
              <c:numCache>
                <c:formatCode>0.00</c:formatCode>
                <c:ptCount val="3"/>
                <c:pt idx="0" formatCode="General">
                  <c:v>0</c:v>
                </c:pt>
                <c:pt idx="1">
                  <c:v>20.349999999999998</c:v>
                </c:pt>
                <c:pt idx="2">
                  <c:v>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532E-804B-B2C2-DB150BE2D056}"/>
            </c:ext>
          </c:extLst>
        </c:ser>
        <c:ser>
          <c:idx val="5"/>
          <c:order val="7"/>
          <c:tx>
            <c:v>Marrow Constraint 50% of all possibilities</c:v>
          </c:tx>
          <c:spPr>
            <a:ln w="15875" cap="rnd">
              <a:solidFill>
                <a:schemeClr val="accent1"/>
              </a:solidFill>
              <a:prstDash val="dashDot"/>
              <a:round/>
            </a:ln>
            <a:effectLst/>
          </c:spPr>
          <c:marker>
            <c:symbol val="none"/>
          </c:marker>
          <c:dLbls>
            <c:dLbl>
              <c:idx val="2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32E-804B-B2C2-DB150BE2D056}"/>
                </c:ext>
              </c:extLst>
            </c:dLbl>
            <c:dLbl>
              <c:idx val="3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69891456598374"/>
                      <c:h val="9.35731072077528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532E-804B-B2C2-DB150BE2D0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Marrow!$A$16:$A$78</c:f>
              <c:numCache>
                <c:formatCode>General</c:formatCode>
                <c:ptCount val="6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33.5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42.4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50.5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67.5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</c:numCache>
            </c:numRef>
          </c:xVal>
          <c:yVal>
            <c:numRef>
              <c:f>Marrow!$E$16:$E$78</c:f>
              <c:numCache>
                <c:formatCode>#,##0.00</c:formatCode>
                <c:ptCount val="63"/>
                <c:pt idx="0">
                  <c:v>44.122796215566531</c:v>
                </c:pt>
                <c:pt idx="1">
                  <c:v>40.111632923242304</c:v>
                </c:pt>
                <c:pt idx="2">
                  <c:v>36.768996846305441</c:v>
                </c:pt>
                <c:pt idx="3">
                  <c:v>33.940612473512722</c:v>
                </c:pt>
                <c:pt idx="4">
                  <c:v>31.516283011118951</c:v>
                </c:pt>
                <c:pt idx="5">
                  <c:v>29.415197477044352</c:v>
                </c:pt>
                <c:pt idx="6">
                  <c:v>27.576747634729081</c:v>
                </c:pt>
                <c:pt idx="7">
                  <c:v>25.954586009156785</c:v>
                </c:pt>
                <c:pt idx="8">
                  <c:v>24.512664564203629</c:v>
                </c:pt>
                <c:pt idx="9">
                  <c:v>23.222524323982384</c:v>
                </c:pt>
                <c:pt idx="10">
                  <c:v>22.061398107783265</c:v>
                </c:pt>
                <c:pt idx="11">
                  <c:v>21.010855340745966</c:v>
                </c:pt>
                <c:pt idx="12">
                  <c:v>20.055816461621152</c:v>
                </c:pt>
                <c:pt idx="13">
                  <c:v>19.183824441550666</c:v>
                </c:pt>
                <c:pt idx="14">
                  <c:v>18.384498423152721</c:v>
                </c:pt>
                <c:pt idx="15">
                  <c:v>17.649118486226612</c:v>
                </c:pt>
                <c:pt idx="16">
                  <c:v>16.970306236756361</c:v>
                </c:pt>
                <c:pt idx="17">
                  <c:v>16.341776376135755</c:v>
                </c:pt>
                <c:pt idx="18">
                  <c:v>15.758141505559475</c:v>
                </c:pt>
                <c:pt idx="19">
                  <c:v>15.214757315712598</c:v>
                </c:pt>
                <c:pt idx="20">
                  <c:v>14.707598738522176</c:v>
                </c:pt>
                <c:pt idx="21">
                  <c:v>14.23316006953759</c:v>
                </c:pt>
                <c:pt idx="22">
                  <c:v>13.78837381736454</c:v>
                </c:pt>
                <c:pt idx="23">
                  <c:v>13.170983944945235</c:v>
                </c:pt>
                <c:pt idx="24">
                  <c:v>12.977293004578392</c:v>
                </c:pt>
                <c:pt idx="25">
                  <c:v>12.606513204447582</c:v>
                </c:pt>
                <c:pt idx="26">
                  <c:v>12.256332282101814</c:v>
                </c:pt>
                <c:pt idx="27">
                  <c:v>11.925080058261225</c:v>
                </c:pt>
                <c:pt idx="28">
                  <c:v>11.611262161991192</c:v>
                </c:pt>
                <c:pt idx="29">
                  <c:v>11.313537491170905</c:v>
                </c:pt>
                <c:pt idx="30">
                  <c:v>11.030699053891633</c:v>
                </c:pt>
                <c:pt idx="31">
                  <c:v>10.761657613552813</c:v>
                </c:pt>
                <c:pt idx="32">
                  <c:v>10.406319862161919</c:v>
                </c:pt>
                <c:pt idx="33">
                  <c:v>10.261115398968961</c:v>
                </c:pt>
                <c:pt idx="34">
                  <c:v>10.027908230810576</c:v>
                </c:pt>
                <c:pt idx="35">
                  <c:v>9.8050658256814529</c:v>
                </c:pt>
                <c:pt idx="36">
                  <c:v>9.5919122207753329</c:v>
                </c:pt>
                <c:pt idx="37">
                  <c:v>9.3878289820354315</c:v>
                </c:pt>
                <c:pt idx="38">
                  <c:v>9.1922492115763603</c:v>
                </c:pt>
                <c:pt idx="39">
                  <c:v>9.0046522888911298</c:v>
                </c:pt>
                <c:pt idx="40">
                  <c:v>8.7371873694191162</c:v>
                </c:pt>
                <c:pt idx="41">
                  <c:v>8.6515286697189282</c:v>
                </c:pt>
                <c:pt idx="42">
                  <c:v>8.4851531183781805</c:v>
                </c:pt>
                <c:pt idx="43">
                  <c:v>8.3250558897295353</c:v>
                </c:pt>
                <c:pt idx="44">
                  <c:v>8.1708881880678774</c:v>
                </c:pt>
                <c:pt idx="45">
                  <c:v>8.0223265846484608</c:v>
                </c:pt>
                <c:pt idx="46">
                  <c:v>7.8790707527797377</c:v>
                </c:pt>
                <c:pt idx="47">
                  <c:v>7.7408414413274622</c:v>
                </c:pt>
                <c:pt idx="48">
                  <c:v>7.607378657856299</c:v>
                </c:pt>
                <c:pt idx="49">
                  <c:v>7.4784400365367008</c:v>
                </c:pt>
                <c:pt idx="50">
                  <c:v>7.3537993692610879</c:v>
                </c:pt>
                <c:pt idx="51">
                  <c:v>7.233245281240416</c:v>
                </c:pt>
                <c:pt idx="52">
                  <c:v>7.1165800347687949</c:v>
                </c:pt>
                <c:pt idx="53">
                  <c:v>7.0036184469153238</c:v>
                </c:pt>
                <c:pt idx="54">
                  <c:v>6.8941869086822702</c:v>
                </c:pt>
                <c:pt idx="55">
                  <c:v>6.7881224947025434</c:v>
                </c:pt>
                <c:pt idx="56">
                  <c:v>6.6852721538737176</c:v>
                </c:pt>
                <c:pt idx="57">
                  <c:v>6.536710550454301</c:v>
                </c:pt>
                <c:pt idx="58">
                  <c:v>6.4886465022891961</c:v>
                </c:pt>
                <c:pt idx="59">
                  <c:v>6.3946081471835559</c:v>
                </c:pt>
                <c:pt idx="60">
                  <c:v>6.303256602223791</c:v>
                </c:pt>
                <c:pt idx="61">
                  <c:v>6.2144783402206381</c:v>
                </c:pt>
                <c:pt idx="62">
                  <c:v>6.1281661410509072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532E-804B-B2C2-DB150BE2D056}"/>
            </c:ext>
          </c:extLst>
        </c:ser>
        <c:ser>
          <c:idx val="6"/>
          <c:order val="8"/>
          <c:tx>
            <c:v>Marrow Dose Rate Constraint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12700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532E-804B-B2C2-DB150BE2D056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12700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32E-804B-B2C2-DB150BE2D056}"/>
              </c:ext>
            </c:extLst>
          </c:dPt>
          <c:dLbls>
            <c:dLbl>
              <c:idx val="1"/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32E-804B-B2C2-DB150BE2D0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Marrow!$M$24:$M$26</c:f>
              <c:numCache>
                <c:formatCode>General</c:formatCode>
                <c:ptCount val="3"/>
                <c:pt idx="0">
                  <c:v>0</c:v>
                </c:pt>
                <c:pt idx="1">
                  <c:v>63</c:v>
                </c:pt>
                <c:pt idx="2">
                  <c:v>100</c:v>
                </c:pt>
              </c:numCache>
            </c:numRef>
          </c:xVal>
          <c:yVal>
            <c:numRef>
              <c:f>Marrow!$N$24:$N$26</c:f>
              <c:numCache>
                <c:formatCode>0.00</c:formatCode>
                <c:ptCount val="3"/>
                <c:pt idx="0">
                  <c:v>0.29692772003877876</c:v>
                </c:pt>
                <c:pt idx="1">
                  <c:v>0.29692772003877876</c:v>
                </c:pt>
                <c:pt idx="2">
                  <c:v>0.29692772003877876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532E-804B-B2C2-DB150BE2D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581375"/>
        <c:axId val="1263812944"/>
      </c:scatterChart>
      <c:valAx>
        <c:axId val="406581375"/>
        <c:scaling>
          <c:orientation val="minMax"/>
          <c:max val="72"/>
          <c:min val="2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 baseline="0">
                    <a:solidFill>
                      <a:schemeClr val="tx1"/>
                    </a:solidFill>
                  </a:rPr>
                  <a:t>Whole Body Time Integrated Activity Coefficient (h)</a:t>
                </a:r>
                <a:endParaRPr lang="en-GB" sz="11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812944"/>
        <c:crosses val="autoZero"/>
        <c:crossBetween val="midCat"/>
        <c:majorUnit val="2"/>
      </c:valAx>
      <c:valAx>
        <c:axId val="1263812944"/>
        <c:scaling>
          <c:orientation val="minMax"/>
          <c:max val="22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>
                    <a:solidFill>
                      <a:schemeClr val="tx1"/>
                    </a:solidFill>
                  </a:rPr>
                  <a:t>Maximum</a:t>
                </a:r>
                <a:r>
                  <a:rPr lang="en-GB" sz="1100" baseline="0">
                    <a:solidFill>
                      <a:schemeClr val="tx1"/>
                    </a:solidFill>
                  </a:rPr>
                  <a:t> Predicted Safe I-131 (GBq)</a:t>
                </a:r>
                <a:endParaRPr lang="en-GB" sz="11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6.0030222968926374E-3"/>
              <c:y val="0.232406979741777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581375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26458</xdr:colOff>
      <xdr:row>27</xdr:row>
      <xdr:rowOff>21167</xdr:rowOff>
    </xdr:from>
    <xdr:to>
      <xdr:col>6</xdr:col>
      <xdr:colOff>984250</xdr:colOff>
      <xdr:row>47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316D46F-26FC-5748-BD36-333CAD7E7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503749</xdr:colOff>
      <xdr:row>12</xdr:row>
      <xdr:rowOff>25094</xdr:rowOff>
    </xdr:from>
    <xdr:to>
      <xdr:col>9</xdr:col>
      <xdr:colOff>754073</xdr:colOff>
      <xdr:row>14</xdr:row>
      <xdr:rowOff>25263</xdr:rowOff>
    </xdr:to>
    <xdr:sp macro="" textlink="">
      <xdr:nvSpPr>
        <xdr:cNvPr id="29" name="Down Arrow 28">
          <a:extLst>
            <a:ext uri="{FF2B5EF4-FFF2-40B4-BE49-F238E27FC236}">
              <a16:creationId xmlns:a16="http://schemas.microsoft.com/office/drawing/2014/main" id="{36276948-628E-7B43-9721-56698D16F616}"/>
            </a:ext>
          </a:extLst>
        </xdr:cNvPr>
        <xdr:cNvSpPr/>
      </xdr:nvSpPr>
      <xdr:spPr>
        <a:xfrm rot="2638155">
          <a:off x="8504749" y="2438094"/>
          <a:ext cx="250324" cy="402336"/>
        </a:xfrm>
        <a:prstGeom prst="down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299903</xdr:colOff>
      <xdr:row>15</xdr:row>
      <xdr:rowOff>33868</xdr:rowOff>
    </xdr:from>
    <xdr:to>
      <xdr:col>12</xdr:col>
      <xdr:colOff>611284</xdr:colOff>
      <xdr:row>27</xdr:row>
      <xdr:rowOff>199476</xdr:rowOff>
    </xdr:to>
    <xdr:sp macro="" textlink="">
      <xdr:nvSpPr>
        <xdr:cNvPr id="36" name="Down Arrow 35">
          <a:extLst>
            <a:ext uri="{FF2B5EF4-FFF2-40B4-BE49-F238E27FC236}">
              <a16:creationId xmlns:a16="http://schemas.microsoft.com/office/drawing/2014/main" id="{1603820B-05BA-4440-ABAB-00C949BB7A5B}"/>
            </a:ext>
          </a:extLst>
        </xdr:cNvPr>
        <xdr:cNvSpPr/>
      </xdr:nvSpPr>
      <xdr:spPr>
        <a:xfrm>
          <a:off x="10967903" y="3050118"/>
          <a:ext cx="311381" cy="2578608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327327</xdr:colOff>
      <xdr:row>15</xdr:row>
      <xdr:rowOff>8717</xdr:rowOff>
    </xdr:from>
    <xdr:to>
      <xdr:col>9</xdr:col>
      <xdr:colOff>577651</xdr:colOff>
      <xdr:row>17</xdr:row>
      <xdr:rowOff>8886</xdr:rowOff>
    </xdr:to>
    <xdr:sp macro="" textlink="">
      <xdr:nvSpPr>
        <xdr:cNvPr id="13" name="Down Arrow 12">
          <a:extLst>
            <a:ext uri="{FF2B5EF4-FFF2-40B4-BE49-F238E27FC236}">
              <a16:creationId xmlns:a16="http://schemas.microsoft.com/office/drawing/2014/main" id="{2454A691-0A5B-9640-8347-DC5CF7EB4727}"/>
            </a:ext>
          </a:extLst>
        </xdr:cNvPr>
        <xdr:cNvSpPr/>
      </xdr:nvSpPr>
      <xdr:spPr>
        <a:xfrm>
          <a:off x="8328327" y="3024967"/>
          <a:ext cx="250324" cy="402336"/>
        </a:xfrm>
        <a:prstGeom prst="down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224877</xdr:colOff>
      <xdr:row>20</xdr:row>
      <xdr:rowOff>199188</xdr:rowOff>
    </xdr:from>
    <xdr:to>
      <xdr:col>8</xdr:col>
      <xdr:colOff>475201</xdr:colOff>
      <xdr:row>22</xdr:row>
      <xdr:rowOff>199358</xdr:rowOff>
    </xdr:to>
    <xdr:sp macro="" textlink="">
      <xdr:nvSpPr>
        <xdr:cNvPr id="14" name="Down Arrow 13">
          <a:extLst>
            <a:ext uri="{FF2B5EF4-FFF2-40B4-BE49-F238E27FC236}">
              <a16:creationId xmlns:a16="http://schemas.microsoft.com/office/drawing/2014/main" id="{DFFA486C-9246-C445-A941-E9AB48DD91CB}"/>
            </a:ext>
          </a:extLst>
        </xdr:cNvPr>
        <xdr:cNvSpPr/>
      </xdr:nvSpPr>
      <xdr:spPr>
        <a:xfrm rot="2638155">
          <a:off x="7336877" y="4220855"/>
          <a:ext cx="250324" cy="402336"/>
        </a:xfrm>
        <a:prstGeom prst="down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695663</xdr:colOff>
      <xdr:row>18</xdr:row>
      <xdr:rowOff>33291</xdr:rowOff>
    </xdr:from>
    <xdr:to>
      <xdr:col>10</xdr:col>
      <xdr:colOff>56987</xdr:colOff>
      <xdr:row>20</xdr:row>
      <xdr:rowOff>33460</xdr:rowOff>
    </xdr:to>
    <xdr:sp macro="" textlink="">
      <xdr:nvSpPr>
        <xdr:cNvPr id="16" name="Down Arrow 15">
          <a:extLst>
            <a:ext uri="{FF2B5EF4-FFF2-40B4-BE49-F238E27FC236}">
              <a16:creationId xmlns:a16="http://schemas.microsoft.com/office/drawing/2014/main" id="{0712C862-9A93-604F-AAC2-A1188F3C0540}"/>
            </a:ext>
          </a:extLst>
        </xdr:cNvPr>
        <xdr:cNvSpPr/>
      </xdr:nvSpPr>
      <xdr:spPr>
        <a:xfrm rot="18915192">
          <a:off x="8696663" y="3652791"/>
          <a:ext cx="250324" cy="402336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774682</xdr:colOff>
      <xdr:row>18</xdr:row>
      <xdr:rowOff>33561</xdr:rowOff>
    </xdr:from>
    <xdr:to>
      <xdr:col>9</xdr:col>
      <xdr:colOff>136006</xdr:colOff>
      <xdr:row>20</xdr:row>
      <xdr:rowOff>33730</xdr:rowOff>
    </xdr:to>
    <xdr:sp macro="" textlink="">
      <xdr:nvSpPr>
        <xdr:cNvPr id="17" name="Down Arrow 16">
          <a:extLst>
            <a:ext uri="{FF2B5EF4-FFF2-40B4-BE49-F238E27FC236}">
              <a16:creationId xmlns:a16="http://schemas.microsoft.com/office/drawing/2014/main" id="{EDE3249A-0A5B-BD43-B0E8-538C46913917}"/>
            </a:ext>
          </a:extLst>
        </xdr:cNvPr>
        <xdr:cNvSpPr/>
      </xdr:nvSpPr>
      <xdr:spPr>
        <a:xfrm rot="2638155">
          <a:off x="7886682" y="3653061"/>
          <a:ext cx="250324" cy="402336"/>
        </a:xfrm>
        <a:prstGeom prst="down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404877</xdr:colOff>
      <xdr:row>21</xdr:row>
      <xdr:rowOff>1777</xdr:rowOff>
    </xdr:from>
    <xdr:to>
      <xdr:col>10</xdr:col>
      <xdr:colOff>655201</xdr:colOff>
      <xdr:row>23</xdr:row>
      <xdr:rowOff>1946</xdr:rowOff>
    </xdr:to>
    <xdr:sp macro="" textlink="">
      <xdr:nvSpPr>
        <xdr:cNvPr id="18" name="Down Arrow 17">
          <a:extLst>
            <a:ext uri="{FF2B5EF4-FFF2-40B4-BE49-F238E27FC236}">
              <a16:creationId xmlns:a16="http://schemas.microsoft.com/office/drawing/2014/main" id="{9552652E-AE39-1740-B3E6-408C6DE94CAB}"/>
            </a:ext>
          </a:extLst>
        </xdr:cNvPr>
        <xdr:cNvSpPr/>
      </xdr:nvSpPr>
      <xdr:spPr>
        <a:xfrm rot="18915192">
          <a:off x="9294877" y="4224527"/>
          <a:ext cx="250324" cy="402336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179725</xdr:colOff>
      <xdr:row>12</xdr:row>
      <xdr:rowOff>15829</xdr:rowOff>
    </xdr:from>
    <xdr:to>
      <xdr:col>12</xdr:col>
      <xdr:colOff>430049</xdr:colOff>
      <xdr:row>14</xdr:row>
      <xdr:rowOff>15998</xdr:rowOff>
    </xdr:to>
    <xdr:sp macro="" textlink="">
      <xdr:nvSpPr>
        <xdr:cNvPr id="19" name="Down Arrow 18">
          <a:extLst>
            <a:ext uri="{FF2B5EF4-FFF2-40B4-BE49-F238E27FC236}">
              <a16:creationId xmlns:a16="http://schemas.microsoft.com/office/drawing/2014/main" id="{05DA1A59-60D6-A142-8810-C2FA16107B1B}"/>
            </a:ext>
          </a:extLst>
        </xdr:cNvPr>
        <xdr:cNvSpPr/>
      </xdr:nvSpPr>
      <xdr:spPr>
        <a:xfrm rot="18915192">
          <a:off x="10847725" y="2428829"/>
          <a:ext cx="250324" cy="402336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113983</xdr:colOff>
      <xdr:row>28</xdr:row>
      <xdr:rowOff>168428</xdr:rowOff>
    </xdr:from>
    <xdr:to>
      <xdr:col>11</xdr:col>
      <xdr:colOff>119063</xdr:colOff>
      <xdr:row>30</xdr:row>
      <xdr:rowOff>67059</xdr:rowOff>
    </xdr:to>
    <xdr:sp macro="" textlink="">
      <xdr:nvSpPr>
        <xdr:cNvPr id="15" name="Down Arrow 14">
          <a:extLst>
            <a:ext uri="{FF2B5EF4-FFF2-40B4-BE49-F238E27FC236}">
              <a16:creationId xmlns:a16="http://schemas.microsoft.com/office/drawing/2014/main" id="{FA6EB10E-C92A-5D40-903D-2A679FB1CE1E}"/>
            </a:ext>
          </a:extLst>
        </xdr:cNvPr>
        <xdr:cNvSpPr/>
      </xdr:nvSpPr>
      <xdr:spPr>
        <a:xfrm rot="5400000">
          <a:off x="8856124" y="5057620"/>
          <a:ext cx="300798" cy="1783080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852498</xdr:colOff>
      <xdr:row>30</xdr:row>
      <xdr:rowOff>90251</xdr:rowOff>
    </xdr:from>
    <xdr:to>
      <xdr:col>8</xdr:col>
      <xdr:colOff>374978</xdr:colOff>
      <xdr:row>31</xdr:row>
      <xdr:rowOff>134200</xdr:rowOff>
    </xdr:to>
    <xdr:sp macro="" textlink="">
      <xdr:nvSpPr>
        <xdr:cNvPr id="20" name="Down Arrow 19">
          <a:extLst>
            <a:ext uri="{FF2B5EF4-FFF2-40B4-BE49-F238E27FC236}">
              <a16:creationId xmlns:a16="http://schemas.microsoft.com/office/drawing/2014/main" id="{6B5B76F3-C091-E845-A441-671DDAE6D351}"/>
            </a:ext>
          </a:extLst>
        </xdr:cNvPr>
        <xdr:cNvSpPr/>
      </xdr:nvSpPr>
      <xdr:spPr>
        <a:xfrm rot="2731977">
          <a:off x="7158722" y="6039527"/>
          <a:ext cx="245032" cy="411480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735347</xdr:colOff>
      <xdr:row>29</xdr:row>
      <xdr:rowOff>186486</xdr:rowOff>
    </xdr:from>
    <xdr:to>
      <xdr:col>12</xdr:col>
      <xdr:colOff>96671</xdr:colOff>
      <xdr:row>33</xdr:row>
      <xdr:rowOff>86241</xdr:rowOff>
    </xdr:to>
    <xdr:sp macro="" textlink="">
      <xdr:nvSpPr>
        <xdr:cNvPr id="21" name="Down Arrow 20">
          <a:extLst>
            <a:ext uri="{FF2B5EF4-FFF2-40B4-BE49-F238E27FC236}">
              <a16:creationId xmlns:a16="http://schemas.microsoft.com/office/drawing/2014/main" id="{2F111A83-D4E2-5C48-908F-637CAC0BE8A9}"/>
            </a:ext>
          </a:extLst>
        </xdr:cNvPr>
        <xdr:cNvSpPr/>
      </xdr:nvSpPr>
      <xdr:spPr>
        <a:xfrm rot="2626375">
          <a:off x="10514347" y="6017903"/>
          <a:ext cx="250324" cy="704088"/>
        </a:xfrm>
        <a:prstGeom prst="downArrow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610024</xdr:colOff>
      <xdr:row>35</xdr:row>
      <xdr:rowOff>19638</xdr:rowOff>
    </xdr:from>
    <xdr:to>
      <xdr:col>11</xdr:col>
      <xdr:colOff>176192</xdr:colOff>
      <xdr:row>36</xdr:row>
      <xdr:rowOff>63587</xdr:rowOff>
    </xdr:to>
    <xdr:sp macro="" textlink="">
      <xdr:nvSpPr>
        <xdr:cNvPr id="22" name="Down Arrow 21">
          <a:extLst>
            <a:ext uri="{FF2B5EF4-FFF2-40B4-BE49-F238E27FC236}">
              <a16:creationId xmlns:a16="http://schemas.microsoft.com/office/drawing/2014/main" id="{548A885D-13FB-B64D-A4F0-518A4F3788C6}"/>
            </a:ext>
          </a:extLst>
        </xdr:cNvPr>
        <xdr:cNvSpPr/>
      </xdr:nvSpPr>
      <xdr:spPr>
        <a:xfrm rot="3698760">
          <a:off x="9160592" y="6507987"/>
          <a:ext cx="245032" cy="1344168"/>
        </a:xfrm>
        <a:prstGeom prst="downArrow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338828</xdr:colOff>
      <xdr:row>34</xdr:row>
      <xdr:rowOff>15875</xdr:rowOff>
    </xdr:from>
    <xdr:to>
      <xdr:col>11</xdr:col>
      <xdr:colOff>589152</xdr:colOff>
      <xdr:row>36</xdr:row>
      <xdr:rowOff>198924</xdr:rowOff>
    </xdr:to>
    <xdr:sp macro="" textlink="">
      <xdr:nvSpPr>
        <xdr:cNvPr id="23" name="Down Arrow 22">
          <a:extLst>
            <a:ext uri="{FF2B5EF4-FFF2-40B4-BE49-F238E27FC236}">
              <a16:creationId xmlns:a16="http://schemas.microsoft.com/office/drawing/2014/main" id="{B44C7880-0D34-154B-917D-5C5E0B694F04}"/>
            </a:ext>
          </a:extLst>
        </xdr:cNvPr>
        <xdr:cNvSpPr/>
      </xdr:nvSpPr>
      <xdr:spPr>
        <a:xfrm>
          <a:off x="10117828" y="6852708"/>
          <a:ext cx="250324" cy="585216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771551</xdr:colOff>
      <xdr:row>34</xdr:row>
      <xdr:rowOff>184803</xdr:rowOff>
    </xdr:from>
    <xdr:to>
      <xdr:col>13</xdr:col>
      <xdr:colOff>275714</xdr:colOff>
      <xdr:row>36</xdr:row>
      <xdr:rowOff>35519</xdr:rowOff>
    </xdr:to>
    <xdr:sp macro="" textlink="">
      <xdr:nvSpPr>
        <xdr:cNvPr id="24" name="Down Arrow 23">
          <a:extLst>
            <a:ext uri="{FF2B5EF4-FFF2-40B4-BE49-F238E27FC236}">
              <a16:creationId xmlns:a16="http://schemas.microsoft.com/office/drawing/2014/main" id="{62875297-8445-4F48-859D-AE04B6002058}"/>
            </a:ext>
          </a:extLst>
        </xdr:cNvPr>
        <xdr:cNvSpPr/>
      </xdr:nvSpPr>
      <xdr:spPr>
        <a:xfrm rot="17996835">
          <a:off x="11065191" y="6506996"/>
          <a:ext cx="252883" cy="1282163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324540</xdr:colOff>
      <xdr:row>39</xdr:row>
      <xdr:rowOff>7936</xdr:rowOff>
    </xdr:from>
    <xdr:to>
      <xdr:col>13</xdr:col>
      <xdr:colOff>574864</xdr:colOff>
      <xdr:row>40</xdr:row>
      <xdr:rowOff>164353</xdr:rowOff>
    </xdr:to>
    <xdr:sp macro="" textlink="">
      <xdr:nvSpPr>
        <xdr:cNvPr id="25" name="Down Arrow 24">
          <a:extLst>
            <a:ext uri="{FF2B5EF4-FFF2-40B4-BE49-F238E27FC236}">
              <a16:creationId xmlns:a16="http://schemas.microsoft.com/office/drawing/2014/main" id="{35B22600-6F68-9E4C-9440-410C6F26B14F}"/>
            </a:ext>
          </a:extLst>
        </xdr:cNvPr>
        <xdr:cNvSpPr/>
      </xdr:nvSpPr>
      <xdr:spPr>
        <a:xfrm>
          <a:off x="11881540" y="7874465"/>
          <a:ext cx="250324" cy="358123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842574</xdr:colOff>
      <xdr:row>39</xdr:row>
      <xdr:rowOff>86526</xdr:rowOff>
    </xdr:from>
    <xdr:to>
      <xdr:col>9</xdr:col>
      <xdr:colOff>374198</xdr:colOff>
      <xdr:row>40</xdr:row>
      <xdr:rowOff>130475</xdr:rowOff>
    </xdr:to>
    <xdr:sp macro="" textlink="">
      <xdr:nvSpPr>
        <xdr:cNvPr id="26" name="Down Arrow 25">
          <a:extLst>
            <a:ext uri="{FF2B5EF4-FFF2-40B4-BE49-F238E27FC236}">
              <a16:creationId xmlns:a16="http://schemas.microsoft.com/office/drawing/2014/main" id="{6867AD8D-A042-7B4C-9E0D-0BBD087048D5}"/>
            </a:ext>
          </a:extLst>
        </xdr:cNvPr>
        <xdr:cNvSpPr/>
      </xdr:nvSpPr>
      <xdr:spPr>
        <a:xfrm rot="2720246">
          <a:off x="8042058" y="7865571"/>
          <a:ext cx="245655" cy="420624"/>
        </a:xfrm>
        <a:prstGeom prst="downArrow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178874</xdr:colOff>
      <xdr:row>39</xdr:row>
      <xdr:rowOff>3081</xdr:rowOff>
    </xdr:from>
    <xdr:to>
      <xdr:col>11</xdr:col>
      <xdr:colOff>429198</xdr:colOff>
      <xdr:row>40</xdr:row>
      <xdr:rowOff>199453</xdr:rowOff>
    </xdr:to>
    <xdr:sp macro="" textlink="">
      <xdr:nvSpPr>
        <xdr:cNvPr id="27" name="Down Arrow 26">
          <a:extLst>
            <a:ext uri="{FF2B5EF4-FFF2-40B4-BE49-F238E27FC236}">
              <a16:creationId xmlns:a16="http://schemas.microsoft.com/office/drawing/2014/main" id="{E3970034-9F83-8C45-96B5-B27F615BA138}"/>
            </a:ext>
          </a:extLst>
        </xdr:cNvPr>
        <xdr:cNvSpPr/>
      </xdr:nvSpPr>
      <xdr:spPr>
        <a:xfrm rot="2115308">
          <a:off x="9957874" y="7869610"/>
          <a:ext cx="250324" cy="398078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469781</xdr:colOff>
      <xdr:row>2</xdr:row>
      <xdr:rowOff>32635</xdr:rowOff>
    </xdr:from>
    <xdr:to>
      <xdr:col>6</xdr:col>
      <xdr:colOff>871204</xdr:colOff>
      <xdr:row>7</xdr:row>
      <xdr:rowOff>179917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C1E90A0C-4A73-9244-8BD6-8532F2A27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5781" y="434802"/>
          <a:ext cx="2179423" cy="1152698"/>
        </a:xfrm>
        <a:prstGeom prst="rect">
          <a:avLst/>
        </a:prstGeom>
      </xdr:spPr>
    </xdr:pic>
    <xdr:clientData/>
  </xdr:twoCellAnchor>
  <xdr:twoCellAnchor>
    <xdr:from>
      <xdr:col>11</xdr:col>
      <xdr:colOff>484597</xdr:colOff>
      <xdr:row>2</xdr:row>
      <xdr:rowOff>36868</xdr:rowOff>
    </xdr:from>
    <xdr:to>
      <xdr:col>13</xdr:col>
      <xdr:colOff>884973</xdr:colOff>
      <xdr:row>7</xdr:row>
      <xdr:rowOff>183596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FDB0D1B-1C77-3240-8D74-DA5496F04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3597" y="439035"/>
          <a:ext cx="2178376" cy="11521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BAFEC-9CCF-6C47-B0F5-40CF1C2D9DE6}">
  <dimension ref="A1:N48"/>
  <sheetViews>
    <sheetView tabSelected="1" zoomScale="120" zoomScaleNormal="120" workbookViewId="0">
      <selection activeCell="B7" sqref="B7"/>
    </sheetView>
  </sheetViews>
  <sheetFormatPr baseColWidth="10" defaultRowHeight="16" x14ac:dyDescent="0.2"/>
  <cols>
    <col min="1" max="14" width="11.6640625" customWidth="1"/>
  </cols>
  <sheetData>
    <row r="1" spans="1:14" x14ac:dyDescent="0.2">
      <c r="A1" s="46" t="s">
        <v>73</v>
      </c>
      <c r="B1" s="47"/>
      <c r="C1" s="47"/>
      <c r="F1" s="19"/>
      <c r="G1" s="1" t="s">
        <v>74</v>
      </c>
      <c r="H1" s="46" t="str">
        <f>A1</f>
        <v>FIRST STRIKE PERSONALISED PREDICTIVE RADIOIODINE (I-131) PRESCRIPTION</v>
      </c>
      <c r="I1" s="47"/>
      <c r="J1" s="47"/>
      <c r="M1" s="19"/>
      <c r="N1" s="1" t="str">
        <f>G1</f>
        <v>v280322</v>
      </c>
    </row>
    <row r="2" spans="1:14" x14ac:dyDescent="0.2">
      <c r="A2" s="16" t="s">
        <v>72</v>
      </c>
      <c r="B2" s="48"/>
      <c r="C2" s="1"/>
      <c r="H2" s="16" t="str">
        <f>A2</f>
        <v>FOR INOPERABLE METASTATIC DIFFERENTIATED THYROID CANCER</v>
      </c>
      <c r="I2" s="48"/>
      <c r="J2" s="1"/>
      <c r="N2" s="1"/>
    </row>
    <row r="3" spans="1:14" x14ac:dyDescent="0.2">
      <c r="A3" s="19" t="s">
        <v>135</v>
      </c>
      <c r="B3" s="17"/>
      <c r="C3" s="27"/>
      <c r="F3" s="19"/>
      <c r="G3" s="1"/>
      <c r="H3" s="19" t="str">
        <f>A3</f>
        <v>© Dr Y.H. Kao MBBS MRCP FAMS FRACP FAANMS, Department of Nuclear Medicine</v>
      </c>
      <c r="I3" s="17"/>
      <c r="J3" s="27"/>
      <c r="M3" s="19"/>
      <c r="N3" s="1"/>
    </row>
    <row r="4" spans="1:14" x14ac:dyDescent="0.2">
      <c r="A4" s="19"/>
      <c r="H4" s="19"/>
    </row>
    <row r="5" spans="1:14" x14ac:dyDescent="0.2">
      <c r="A5" s="1" t="s">
        <v>41</v>
      </c>
      <c r="B5" s="49" t="s">
        <v>125</v>
      </c>
      <c r="C5" s="1" t="s">
        <v>44</v>
      </c>
      <c r="D5" s="66"/>
      <c r="F5" s="19"/>
      <c r="H5" s="1" t="s">
        <v>41</v>
      </c>
      <c r="I5" s="64" t="str">
        <f>B5</f>
        <v>Standard</v>
      </c>
      <c r="J5" s="1" t="s">
        <v>44</v>
      </c>
      <c r="K5" s="63">
        <f>D5</f>
        <v>0</v>
      </c>
      <c r="M5" s="19"/>
    </row>
    <row r="6" spans="1:14" x14ac:dyDescent="0.2">
      <c r="A6" s="1" t="s">
        <v>42</v>
      </c>
      <c r="B6" s="8" t="s">
        <v>8</v>
      </c>
      <c r="C6" s="1" t="s">
        <v>5</v>
      </c>
      <c r="D6" s="8">
        <v>163</v>
      </c>
      <c r="E6" t="s">
        <v>0</v>
      </c>
      <c r="H6" s="1" t="s">
        <v>42</v>
      </c>
      <c r="I6" s="64" t="str">
        <f>B6</f>
        <v>Female</v>
      </c>
      <c r="J6" s="1" t="s">
        <v>5</v>
      </c>
      <c r="K6" s="65">
        <f>D6</f>
        <v>163</v>
      </c>
      <c r="L6" t="s">
        <v>0</v>
      </c>
    </row>
    <row r="7" spans="1:14" x14ac:dyDescent="0.2">
      <c r="A7" s="1" t="s">
        <v>43</v>
      </c>
      <c r="B7" s="8" t="s">
        <v>8</v>
      </c>
      <c r="C7" s="1" t="s">
        <v>6</v>
      </c>
      <c r="D7" s="8">
        <v>60</v>
      </c>
      <c r="E7" t="s">
        <v>1</v>
      </c>
      <c r="H7" s="1" t="s">
        <v>43</v>
      </c>
      <c r="I7" s="64" t="str">
        <f>B7</f>
        <v>Female</v>
      </c>
      <c r="J7" s="1" t="s">
        <v>6</v>
      </c>
      <c r="K7" s="65">
        <f>D7</f>
        <v>60</v>
      </c>
      <c r="L7" t="s">
        <v>1</v>
      </c>
    </row>
    <row r="8" spans="1:14" x14ac:dyDescent="0.2">
      <c r="G8" s="103"/>
      <c r="N8" s="103"/>
    </row>
    <row r="9" spans="1:14" x14ac:dyDescent="0.2">
      <c r="A9" s="50" t="s">
        <v>88</v>
      </c>
      <c r="B9" s="29"/>
      <c r="C9" s="29"/>
      <c r="D9" s="29"/>
      <c r="E9" s="29"/>
      <c r="F9" s="29"/>
      <c r="G9" s="3"/>
      <c r="H9" s="50" t="s">
        <v>88</v>
      </c>
      <c r="I9" s="29"/>
      <c r="J9" s="29"/>
      <c r="K9" s="29"/>
      <c r="L9" s="29"/>
      <c r="M9" s="29"/>
      <c r="N9" s="3"/>
    </row>
    <row r="10" spans="1:14" x14ac:dyDescent="0.2">
      <c r="A10" s="6" t="s">
        <v>89</v>
      </c>
      <c r="B10" s="30"/>
      <c r="C10" s="30"/>
      <c r="D10" s="30"/>
      <c r="E10" s="30"/>
      <c r="F10" s="30"/>
      <c r="G10" s="7"/>
      <c r="H10" s="6" t="s">
        <v>89</v>
      </c>
      <c r="I10" s="30"/>
      <c r="J10" s="30"/>
      <c r="K10" s="30"/>
      <c r="L10" s="30"/>
      <c r="M10" s="30"/>
      <c r="N10" s="7"/>
    </row>
    <row r="11" spans="1:14" x14ac:dyDescent="0.2">
      <c r="D11" s="102"/>
      <c r="K11" s="102"/>
    </row>
    <row r="12" spans="1:14" x14ac:dyDescent="0.2">
      <c r="A12" s="104">
        <f>(Lung!E21)*0.037</f>
        <v>5.7856253257435846</v>
      </c>
      <c r="B12" s="51" t="s">
        <v>127</v>
      </c>
      <c r="C12" s="51"/>
      <c r="D12" s="51"/>
      <c r="E12" s="51"/>
      <c r="F12" s="51"/>
      <c r="G12" s="51"/>
      <c r="K12" s="1" t="s">
        <v>95</v>
      </c>
    </row>
    <row r="13" spans="1:14" x14ac:dyDescent="0.2">
      <c r="A13" s="105">
        <f>(Lung!E34)*0.037</f>
        <v>4.4227149493363331</v>
      </c>
      <c r="B13" s="53" t="s">
        <v>128</v>
      </c>
      <c r="C13" s="52"/>
      <c r="D13" s="52"/>
      <c r="E13" s="52"/>
      <c r="F13" s="52"/>
      <c r="G13" s="52"/>
    </row>
    <row r="15" spans="1:14" x14ac:dyDescent="0.2">
      <c r="A15" s="56" t="s">
        <v>86</v>
      </c>
      <c r="B15" s="57"/>
      <c r="C15" s="57"/>
      <c r="D15" s="57"/>
      <c r="E15" s="57"/>
      <c r="F15" s="58"/>
      <c r="G15" s="57"/>
      <c r="J15" s="1" t="s">
        <v>92</v>
      </c>
      <c r="M15" s="1" t="s">
        <v>93</v>
      </c>
    </row>
    <row r="16" spans="1:14" x14ac:dyDescent="0.2">
      <c r="A16" s="57" t="s">
        <v>87</v>
      </c>
      <c r="B16" s="57"/>
      <c r="C16" s="57"/>
      <c r="D16" s="57"/>
      <c r="E16" s="57"/>
      <c r="F16" s="57"/>
      <c r="G16" s="57"/>
    </row>
    <row r="17" spans="1:13" x14ac:dyDescent="0.2">
      <c r="A17" s="106">
        <f>(Marrow!L7)</f>
        <v>8.0250735145615888</v>
      </c>
      <c r="B17" s="57" t="s">
        <v>129</v>
      </c>
      <c r="C17" s="57"/>
      <c r="D17" s="57"/>
      <c r="E17" s="57"/>
      <c r="F17" s="57"/>
      <c r="G17" s="57"/>
    </row>
    <row r="18" spans="1:13" x14ac:dyDescent="0.2">
      <c r="A18" s="107">
        <f>(Marrow!E39)</f>
        <v>13.170983944945235</v>
      </c>
      <c r="B18" s="60" t="s">
        <v>130</v>
      </c>
      <c r="C18" s="60"/>
      <c r="D18" s="60"/>
      <c r="E18" s="60"/>
      <c r="F18" s="62"/>
      <c r="G18" s="60"/>
      <c r="I18" s="19" t="s">
        <v>122</v>
      </c>
    </row>
    <row r="20" spans="1:13" x14ac:dyDescent="0.2">
      <c r="A20" s="73" t="s">
        <v>85</v>
      </c>
      <c r="B20" s="74"/>
      <c r="C20" s="74"/>
      <c r="D20" s="74"/>
      <c r="E20" s="74"/>
      <c r="F20" s="74"/>
      <c r="G20" s="74"/>
    </row>
    <row r="21" spans="1:13" x14ac:dyDescent="0.2">
      <c r="A21" s="108">
        <f>(Marrow!H56)</f>
        <v>6.7708114793759906</v>
      </c>
      <c r="B21" s="73" t="s">
        <v>132</v>
      </c>
      <c r="C21" s="74"/>
      <c r="D21" s="74"/>
      <c r="E21" s="74"/>
      <c r="F21" s="75"/>
      <c r="G21" s="73"/>
      <c r="I21" s="1" t="s">
        <v>123</v>
      </c>
      <c r="K21" s="1" t="s">
        <v>124</v>
      </c>
    </row>
    <row r="22" spans="1:13" x14ac:dyDescent="0.2">
      <c r="A22" s="109">
        <f>(Marrow!H73)</f>
        <v>5.0655700697553696</v>
      </c>
      <c r="B22" s="76" t="s">
        <v>131</v>
      </c>
      <c r="C22" s="77"/>
      <c r="D22" s="77"/>
      <c r="E22" s="77"/>
      <c r="F22" s="77"/>
      <c r="G22" s="77"/>
    </row>
    <row r="23" spans="1:13" x14ac:dyDescent="0.2">
      <c r="A23" s="110">
        <f>(Marrow!K73)</f>
        <v>4.1349626997577751</v>
      </c>
      <c r="B23" s="78" t="s">
        <v>133</v>
      </c>
      <c r="C23" s="79"/>
      <c r="D23" s="79"/>
      <c r="E23" s="79"/>
      <c r="F23" s="79"/>
      <c r="G23" s="78"/>
    </row>
    <row r="24" spans="1:13" x14ac:dyDescent="0.2">
      <c r="A24" s="59" t="s">
        <v>90</v>
      </c>
      <c r="H24" s="67"/>
      <c r="I24" s="68"/>
      <c r="K24" s="70"/>
      <c r="L24" s="71"/>
    </row>
    <row r="25" spans="1:13" x14ac:dyDescent="0.2">
      <c r="A25" s="80" t="s">
        <v>40</v>
      </c>
      <c r="B25" s="81"/>
      <c r="C25" s="82">
        <f>Marrow!$F$4</f>
        <v>2</v>
      </c>
      <c r="D25" s="81" t="s">
        <v>27</v>
      </c>
      <c r="E25" s="81" t="s">
        <v>82</v>
      </c>
      <c r="F25" s="81"/>
      <c r="G25" s="81"/>
      <c r="H25" s="84">
        <f>A12</f>
        <v>5.7856253257435846</v>
      </c>
      <c r="I25" s="69" t="s">
        <v>107</v>
      </c>
      <c r="K25" s="85">
        <f>A13</f>
        <v>4.4227149493363331</v>
      </c>
      <c r="L25" s="72" t="s">
        <v>108</v>
      </c>
    </row>
    <row r="26" spans="1:13" x14ac:dyDescent="0.2">
      <c r="A26" s="80" t="s">
        <v>71</v>
      </c>
      <c r="B26" s="61"/>
      <c r="C26" s="83">
        <f>Marrow!L4</f>
        <v>0.26500000000000001</v>
      </c>
      <c r="D26" s="81" t="s">
        <v>61</v>
      </c>
      <c r="E26" s="81" t="s">
        <v>83</v>
      </c>
      <c r="F26" s="61"/>
      <c r="G26" s="61"/>
      <c r="H26" s="120" t="s">
        <v>97</v>
      </c>
      <c r="I26" s="121"/>
      <c r="K26" s="124" t="s">
        <v>97</v>
      </c>
      <c r="L26" s="125"/>
    </row>
    <row r="27" spans="1:13" x14ac:dyDescent="0.2">
      <c r="A27" s="81" t="s">
        <v>46</v>
      </c>
      <c r="B27" s="81"/>
      <c r="C27" s="111">
        <f>(Lung!E8)*0.037</f>
        <v>2.96</v>
      </c>
      <c r="D27" s="81" t="s">
        <v>134</v>
      </c>
      <c r="E27" s="81" t="s">
        <v>84</v>
      </c>
      <c r="F27" s="81"/>
      <c r="G27" s="81"/>
      <c r="H27" s="122" t="s">
        <v>91</v>
      </c>
      <c r="I27" s="123"/>
      <c r="K27" s="126" t="s">
        <v>94</v>
      </c>
      <c r="L27" s="127"/>
    </row>
    <row r="29" spans="1:13" x14ac:dyDescent="0.2">
      <c r="J29" s="19"/>
      <c r="M29" s="1" t="s">
        <v>113</v>
      </c>
    </row>
    <row r="30" spans="1:13" x14ac:dyDescent="0.2">
      <c r="I30" s="1" t="s">
        <v>98</v>
      </c>
      <c r="J30" s="19"/>
      <c r="M30" s="1" t="s">
        <v>96</v>
      </c>
    </row>
    <row r="33" spans="8:14" x14ac:dyDescent="0.2">
      <c r="H33" s="86"/>
      <c r="I33" s="87"/>
    </row>
    <row r="34" spans="8:14" x14ac:dyDescent="0.2">
      <c r="H34" s="88">
        <f>A17</f>
        <v>8.0250735145615888</v>
      </c>
      <c r="I34" s="89" t="s">
        <v>107</v>
      </c>
      <c r="L34" s="1" t="s">
        <v>102</v>
      </c>
    </row>
    <row r="35" spans="8:14" x14ac:dyDescent="0.2">
      <c r="H35" s="128" t="s">
        <v>109</v>
      </c>
      <c r="I35" s="129"/>
    </row>
    <row r="36" spans="8:14" x14ac:dyDescent="0.2">
      <c r="H36" s="128" t="s">
        <v>120</v>
      </c>
      <c r="I36" s="129"/>
    </row>
    <row r="37" spans="8:14" x14ac:dyDescent="0.2">
      <c r="H37" s="142" t="s">
        <v>121</v>
      </c>
      <c r="I37" s="143"/>
    </row>
    <row r="38" spans="8:14" x14ac:dyDescent="0.2">
      <c r="J38" s="1" t="s">
        <v>99</v>
      </c>
      <c r="L38" s="1" t="s">
        <v>101</v>
      </c>
      <c r="N38" s="1" t="s">
        <v>126</v>
      </c>
    </row>
    <row r="39" spans="8:14" x14ac:dyDescent="0.2">
      <c r="J39" s="1" t="s">
        <v>100</v>
      </c>
      <c r="L39" s="1" t="s">
        <v>100</v>
      </c>
      <c r="N39" s="1" t="s">
        <v>100</v>
      </c>
    </row>
    <row r="41" spans="8:14" x14ac:dyDescent="0.2">
      <c r="J41" s="1"/>
    </row>
    <row r="42" spans="8:14" x14ac:dyDescent="0.2">
      <c r="I42" s="92"/>
      <c r="J42" s="95"/>
      <c r="K42" s="98"/>
      <c r="L42" s="99"/>
      <c r="M42" s="96"/>
      <c r="N42" s="90"/>
    </row>
    <row r="43" spans="8:14" x14ac:dyDescent="0.2">
      <c r="I43" s="93">
        <f>A21</f>
        <v>6.7708114793759906</v>
      </c>
      <c r="J43" s="94" t="s">
        <v>107</v>
      </c>
      <c r="K43" s="100">
        <f>A22</f>
        <v>5.0655700697553696</v>
      </c>
      <c r="L43" s="101" t="s">
        <v>108</v>
      </c>
      <c r="M43" s="97">
        <f>A23</f>
        <v>4.1349626997577751</v>
      </c>
      <c r="N43" s="91" t="s">
        <v>108</v>
      </c>
    </row>
    <row r="44" spans="8:14" x14ac:dyDescent="0.2">
      <c r="I44" s="138" t="s">
        <v>114</v>
      </c>
      <c r="J44" s="139"/>
      <c r="K44" s="134" t="s">
        <v>116</v>
      </c>
      <c r="L44" s="135"/>
      <c r="M44" s="130" t="s">
        <v>110</v>
      </c>
      <c r="N44" s="131"/>
    </row>
    <row r="45" spans="8:14" x14ac:dyDescent="0.2">
      <c r="I45" s="138" t="s">
        <v>115</v>
      </c>
      <c r="J45" s="139"/>
      <c r="K45" s="134" t="s">
        <v>117</v>
      </c>
      <c r="L45" s="135"/>
      <c r="M45" s="130" t="s">
        <v>111</v>
      </c>
      <c r="N45" s="131"/>
    </row>
    <row r="46" spans="8:14" x14ac:dyDescent="0.2">
      <c r="I46" s="140" t="s">
        <v>112</v>
      </c>
      <c r="J46" s="141"/>
      <c r="K46" s="134" t="s">
        <v>118</v>
      </c>
      <c r="L46" s="135"/>
      <c r="M46" s="132" t="s">
        <v>112</v>
      </c>
      <c r="N46" s="133"/>
    </row>
    <row r="47" spans="8:14" x14ac:dyDescent="0.2">
      <c r="K47" s="136" t="s">
        <v>119</v>
      </c>
      <c r="L47" s="137"/>
    </row>
    <row r="48" spans="8:14" x14ac:dyDescent="0.2">
      <c r="H48" s="59" t="str">
        <f>A24</f>
        <v>* Likely inadequate for tumour control, unless palliative intent. Theranostic guidance recommended</v>
      </c>
    </row>
  </sheetData>
  <mergeCells count="17">
    <mergeCell ref="K47:L47"/>
    <mergeCell ref="I44:J44"/>
    <mergeCell ref="I45:J45"/>
    <mergeCell ref="I46:J46"/>
    <mergeCell ref="H36:I36"/>
    <mergeCell ref="H37:I37"/>
    <mergeCell ref="M44:N44"/>
    <mergeCell ref="M45:N45"/>
    <mergeCell ref="M46:N46"/>
    <mergeCell ref="K44:L44"/>
    <mergeCell ref="K45:L45"/>
    <mergeCell ref="K46:L46"/>
    <mergeCell ref="H26:I26"/>
    <mergeCell ref="H27:I27"/>
    <mergeCell ref="K26:L26"/>
    <mergeCell ref="K27:L27"/>
    <mergeCell ref="H35:I35"/>
  </mergeCells>
  <dataValidations count="1">
    <dataValidation type="list" allowBlank="1" showInputMessage="1" showErrorMessage="1" sqref="B7" xr:uid="{FBCC0BDE-E52C-234C-B984-30A01485F22D}">
      <formula1>"Male,Female"</formula1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51AE8-91D4-FA4C-82C6-70CB20F81EF1}">
  <dimension ref="A1:R78"/>
  <sheetViews>
    <sheetView zoomScale="120" zoomScaleNormal="120" workbookViewId="0">
      <selection activeCell="G1" sqref="G1"/>
    </sheetView>
  </sheetViews>
  <sheetFormatPr baseColWidth="10" defaultColWidth="11.83203125" defaultRowHeight="16" x14ac:dyDescent="0.2"/>
  <cols>
    <col min="12" max="12" width="11.83203125" style="1"/>
  </cols>
  <sheetData>
    <row r="1" spans="1:18" x14ac:dyDescent="0.2">
      <c r="A1" s="16" t="s">
        <v>45</v>
      </c>
      <c r="F1" t="s">
        <v>56</v>
      </c>
      <c r="G1" s="2"/>
    </row>
    <row r="3" spans="1:18" x14ac:dyDescent="0.2">
      <c r="A3" s="24"/>
      <c r="B3" s="41" t="s">
        <v>4</v>
      </c>
      <c r="C3" s="3"/>
      <c r="E3" s="24"/>
      <c r="F3" s="41" t="s">
        <v>63</v>
      </c>
      <c r="G3" s="3"/>
      <c r="I3" s="24"/>
      <c r="J3" s="29"/>
      <c r="K3" s="45" t="s">
        <v>62</v>
      </c>
      <c r="L3" s="34"/>
      <c r="M3" s="3"/>
    </row>
    <row r="4" spans="1:18" x14ac:dyDescent="0.2">
      <c r="A4" s="4" t="s">
        <v>5</v>
      </c>
      <c r="B4" s="25">
        <f>Prescription!D6</f>
        <v>163</v>
      </c>
      <c r="C4" s="5" t="s">
        <v>0</v>
      </c>
      <c r="E4" s="23" t="s">
        <v>39</v>
      </c>
      <c r="F4" s="54">
        <v>2</v>
      </c>
      <c r="G4" s="5" t="s">
        <v>15</v>
      </c>
      <c r="I4" s="4" t="s">
        <v>69</v>
      </c>
      <c r="L4" s="55">
        <v>0.26500000000000001</v>
      </c>
      <c r="M4" s="42" t="s">
        <v>61</v>
      </c>
    </row>
    <row r="5" spans="1:18" x14ac:dyDescent="0.2">
      <c r="A5" s="4" t="s">
        <v>6</v>
      </c>
      <c r="B5" s="25">
        <f>Prescription!D7</f>
        <v>60</v>
      </c>
      <c r="C5" s="5" t="s">
        <v>1</v>
      </c>
      <c r="E5" s="4" t="s">
        <v>14</v>
      </c>
      <c r="F5" s="1">
        <v>61</v>
      </c>
      <c r="G5" s="5" t="s">
        <v>20</v>
      </c>
      <c r="I5" s="4" t="s">
        <v>67</v>
      </c>
      <c r="L5" s="8">
        <v>10.7</v>
      </c>
      <c r="M5" s="5" t="s">
        <v>10</v>
      </c>
    </row>
    <row r="6" spans="1:18" x14ac:dyDescent="0.2">
      <c r="A6" s="4" t="s">
        <v>7</v>
      </c>
      <c r="B6" s="22">
        <f>(31.9*B4)+(26.3*B5)-2402</f>
        <v>4375.7</v>
      </c>
      <c r="C6" s="5" t="s">
        <v>2</v>
      </c>
      <c r="E6" s="6" t="s">
        <v>13</v>
      </c>
      <c r="F6" s="36">
        <f>0.106/B5</f>
        <v>1.7666666666666666E-3</v>
      </c>
      <c r="G6" s="7" t="s">
        <v>21</v>
      </c>
      <c r="I6" s="4" t="s">
        <v>68</v>
      </c>
      <c r="L6" s="8">
        <v>10.8</v>
      </c>
      <c r="M6" s="5" t="s">
        <v>29</v>
      </c>
    </row>
    <row r="7" spans="1:18" x14ac:dyDescent="0.2">
      <c r="A7" s="4" t="s">
        <v>8</v>
      </c>
      <c r="B7" s="22">
        <f>(56.9*B4)+(14.1*B5)-6460</f>
        <v>3660.6999999999989</v>
      </c>
      <c r="C7" s="5" t="s">
        <v>2</v>
      </c>
      <c r="I7" s="6" t="s">
        <v>70</v>
      </c>
      <c r="J7" s="30"/>
      <c r="K7" s="30"/>
      <c r="L7" s="119">
        <f>(0.02862/((6.588/B8)+(0.106/B5)))</f>
        <v>8.0250735145615888</v>
      </c>
      <c r="M7" s="7" t="s">
        <v>107</v>
      </c>
    </row>
    <row r="8" spans="1:18" x14ac:dyDescent="0.2">
      <c r="A8" s="6" t="s">
        <v>9</v>
      </c>
      <c r="B8" s="26">
        <f>IF(Prescription!B7="Male",$B$6,$B$7)</f>
        <v>3660.6999999999989</v>
      </c>
      <c r="C8" s="7" t="s">
        <v>2</v>
      </c>
      <c r="K8" s="19"/>
    </row>
    <row r="9" spans="1:18" x14ac:dyDescent="0.2">
      <c r="B9" s="18"/>
      <c r="C9" s="27"/>
    </row>
    <row r="10" spans="1:18" x14ac:dyDescent="0.2">
      <c r="A10" s="1"/>
      <c r="B10" s="1"/>
      <c r="C10" s="13" t="s">
        <v>64</v>
      </c>
      <c r="D10" s="1"/>
      <c r="E10" s="1"/>
      <c r="F10" s="13" t="s">
        <v>64</v>
      </c>
      <c r="G10" s="1"/>
      <c r="H10" s="1"/>
      <c r="I10" s="13" t="s">
        <v>64</v>
      </c>
      <c r="J10" s="1"/>
      <c r="K10" s="1"/>
      <c r="M10" s="31" t="s">
        <v>22</v>
      </c>
      <c r="N10" s="29"/>
      <c r="O10" s="29"/>
      <c r="P10" s="29"/>
      <c r="Q10" s="29"/>
      <c r="R10" s="3"/>
    </row>
    <row r="11" spans="1:18" x14ac:dyDescent="0.2">
      <c r="A11" s="1"/>
      <c r="B11" s="1"/>
      <c r="C11" s="14" t="s">
        <v>57</v>
      </c>
      <c r="D11" s="1"/>
      <c r="E11" s="1"/>
      <c r="F11" s="14" t="s">
        <v>57</v>
      </c>
      <c r="G11" s="1"/>
      <c r="H11" s="1"/>
      <c r="I11" s="14" t="s">
        <v>57</v>
      </c>
      <c r="J11" s="1"/>
      <c r="K11" s="1"/>
      <c r="M11" s="23" t="s">
        <v>23</v>
      </c>
      <c r="N11" s="1" t="s">
        <v>24</v>
      </c>
      <c r="R11" s="5"/>
    </row>
    <row r="12" spans="1:18" x14ac:dyDescent="0.2">
      <c r="A12" s="1"/>
      <c r="B12" s="1"/>
      <c r="C12" s="14" t="s">
        <v>58</v>
      </c>
      <c r="D12" s="1"/>
      <c r="E12" s="1"/>
      <c r="F12" s="15" t="s">
        <v>18</v>
      </c>
      <c r="G12" s="1"/>
      <c r="H12" s="1"/>
      <c r="I12" s="14" t="s">
        <v>19</v>
      </c>
      <c r="J12" s="1"/>
      <c r="K12" s="1"/>
      <c r="M12" s="23">
        <v>67.5</v>
      </c>
      <c r="N12" s="1">
        <v>0</v>
      </c>
      <c r="O12" t="s">
        <v>25</v>
      </c>
      <c r="R12" s="5"/>
    </row>
    <row r="13" spans="1:18" x14ac:dyDescent="0.2">
      <c r="A13" s="1"/>
      <c r="B13" s="1"/>
      <c r="C13" s="12">
        <v>16.600000000000001</v>
      </c>
      <c r="D13" s="1"/>
      <c r="E13" s="17"/>
      <c r="F13" s="12">
        <v>24.5</v>
      </c>
      <c r="G13" s="1"/>
      <c r="H13" s="17"/>
      <c r="I13" s="12">
        <v>32.4</v>
      </c>
      <c r="J13" s="1"/>
      <c r="K13" s="17"/>
      <c r="M13" s="23">
        <v>67.5</v>
      </c>
      <c r="N13" s="32">
        <f>550*0.037</f>
        <v>20.349999999999998</v>
      </c>
      <c r="R13" s="5"/>
    </row>
    <row r="14" spans="1:18" x14ac:dyDescent="0.2">
      <c r="A14" s="13" t="s">
        <v>10</v>
      </c>
      <c r="B14" s="13" t="s">
        <v>3</v>
      </c>
      <c r="C14" s="13" t="s">
        <v>10</v>
      </c>
      <c r="D14" s="13" t="s">
        <v>3</v>
      </c>
      <c r="E14" s="13" t="s">
        <v>107</v>
      </c>
      <c r="F14" s="13" t="s">
        <v>10</v>
      </c>
      <c r="G14" s="13" t="s">
        <v>3</v>
      </c>
      <c r="H14" s="13" t="s">
        <v>107</v>
      </c>
      <c r="I14" s="13" t="s">
        <v>10</v>
      </c>
      <c r="J14" s="13" t="s">
        <v>3</v>
      </c>
      <c r="K14" s="13" t="s">
        <v>107</v>
      </c>
      <c r="M14" s="23">
        <v>67.5</v>
      </c>
      <c r="N14" s="32">
        <f>1000*0.037</f>
        <v>37</v>
      </c>
      <c r="R14" s="5"/>
    </row>
    <row r="15" spans="1:18" x14ac:dyDescent="0.2">
      <c r="A15" s="15" t="s">
        <v>65</v>
      </c>
      <c r="B15" s="15" t="s">
        <v>66</v>
      </c>
      <c r="C15" s="43" t="s">
        <v>12</v>
      </c>
      <c r="D15" s="44" t="s">
        <v>16</v>
      </c>
      <c r="E15" s="15" t="s">
        <v>17</v>
      </c>
      <c r="F15" s="43" t="s">
        <v>12</v>
      </c>
      <c r="G15" s="44" t="s">
        <v>16</v>
      </c>
      <c r="H15" s="15" t="s">
        <v>17</v>
      </c>
      <c r="I15" s="43" t="s">
        <v>12</v>
      </c>
      <c r="J15" s="44" t="s">
        <v>16</v>
      </c>
      <c r="K15" s="15" t="s">
        <v>17</v>
      </c>
      <c r="M15" s="23"/>
      <c r="N15" s="1"/>
      <c r="R15" s="5"/>
    </row>
    <row r="16" spans="1:18" x14ac:dyDescent="0.2">
      <c r="A16" s="1">
        <v>10</v>
      </c>
      <c r="B16" s="1">
        <f t="shared" ref="B16:B47" si="0">$F$6*A16</f>
        <v>1.7666666666666667E-2</v>
      </c>
      <c r="C16" s="9">
        <f t="shared" ref="C16:C47" si="1">($C$13/100)*(A16/$B$8)</f>
        <v>4.5346518425437777E-4</v>
      </c>
      <c r="D16" s="9">
        <f t="shared" ref="D16:D47" si="2">($F$5*C16)+B16</f>
        <v>4.532804290618371E-2</v>
      </c>
      <c r="E16" s="112">
        <f>($F$4/D16)</f>
        <v>44.122796215566531</v>
      </c>
      <c r="F16" s="11">
        <f t="shared" ref="F16:F47" si="3">($F$13/100)*(A16/$B$8)</f>
        <v>6.6927090447182255E-4</v>
      </c>
      <c r="G16" s="11">
        <f t="shared" ref="G16:G47" si="4">($F$5*F16)+B16</f>
        <v>5.8492191839447844E-2</v>
      </c>
      <c r="H16" s="113">
        <f>($F$4/G16)</f>
        <v>34.192597970848745</v>
      </c>
      <c r="I16" s="10">
        <f t="shared" ref="I16:I47" si="5">($I$13/100)*(A16/$B$8)</f>
        <v>8.8507662468926738E-4</v>
      </c>
      <c r="J16" s="10">
        <f t="shared" ref="J16:J47" si="6">($F$5*I16)+B16</f>
        <v>7.1656340772711977E-2</v>
      </c>
      <c r="K16" s="114">
        <f>($F$4/J16)</f>
        <v>27.910998223364984</v>
      </c>
      <c r="M16" s="23">
        <v>50.5</v>
      </c>
      <c r="N16" s="1">
        <v>0</v>
      </c>
      <c r="O16" t="s">
        <v>26</v>
      </c>
      <c r="R16" s="5"/>
    </row>
    <row r="17" spans="1:18" x14ac:dyDescent="0.2">
      <c r="A17" s="1">
        <v>11</v>
      </c>
      <c r="B17" s="1">
        <f t="shared" si="0"/>
        <v>1.9433333333333334E-2</v>
      </c>
      <c r="C17" s="9">
        <f t="shared" si="1"/>
        <v>4.9881170267981553E-4</v>
      </c>
      <c r="D17" s="9">
        <f t="shared" si="2"/>
        <v>4.9860847196802081E-2</v>
      </c>
      <c r="E17" s="112">
        <f t="shared" ref="E17:E78" si="7">($F$4/D17)</f>
        <v>40.111632923242304</v>
      </c>
      <c r="F17" s="11">
        <f t="shared" si="3"/>
        <v>7.3619799491900478E-4</v>
      </c>
      <c r="G17" s="11">
        <f t="shared" si="4"/>
        <v>6.4341411023392622E-2</v>
      </c>
      <c r="H17" s="113">
        <f t="shared" ref="H17:H78" si="8">($F$4/G17)</f>
        <v>31.084179973498863</v>
      </c>
      <c r="I17" s="10">
        <f t="shared" si="5"/>
        <v>9.7358428715819403E-4</v>
      </c>
      <c r="J17" s="10">
        <f t="shared" si="6"/>
        <v>7.882197484998317E-2</v>
      </c>
      <c r="K17" s="114">
        <f t="shared" ref="K17:K78" si="9">($F$4/J17)</f>
        <v>25.373634748513624</v>
      </c>
      <c r="M17" s="23">
        <v>50.5</v>
      </c>
      <c r="N17" s="32">
        <f>550*0.037</f>
        <v>20.349999999999998</v>
      </c>
      <c r="R17" s="5"/>
    </row>
    <row r="18" spans="1:18" x14ac:dyDescent="0.2">
      <c r="A18" s="1">
        <v>12</v>
      </c>
      <c r="B18" s="1">
        <f t="shared" si="0"/>
        <v>2.12E-2</v>
      </c>
      <c r="C18" s="9">
        <f t="shared" si="1"/>
        <v>5.4415822110525335E-4</v>
      </c>
      <c r="D18" s="9">
        <f t="shared" si="2"/>
        <v>5.4393651487420452E-2</v>
      </c>
      <c r="E18" s="112">
        <f t="shared" si="7"/>
        <v>36.768996846305441</v>
      </c>
      <c r="F18" s="11">
        <f t="shared" si="3"/>
        <v>8.0312508536618701E-4</v>
      </c>
      <c r="G18" s="11">
        <f t="shared" si="4"/>
        <v>7.0190630207337401E-2</v>
      </c>
      <c r="H18" s="113">
        <f t="shared" si="8"/>
        <v>28.493831642373962</v>
      </c>
      <c r="I18" s="10">
        <f t="shared" si="5"/>
        <v>1.0620919496271209E-3</v>
      </c>
      <c r="J18" s="10">
        <f t="shared" si="6"/>
        <v>8.5987608927254378E-2</v>
      </c>
      <c r="K18" s="114">
        <f t="shared" si="9"/>
        <v>23.259165186137487</v>
      </c>
      <c r="M18" s="23">
        <v>50.5</v>
      </c>
      <c r="N18" s="32">
        <f>1000*0.037</f>
        <v>37</v>
      </c>
      <c r="R18" s="5"/>
    </row>
    <row r="19" spans="1:18" x14ac:dyDescent="0.2">
      <c r="A19" s="1">
        <v>13</v>
      </c>
      <c r="B19" s="1">
        <f t="shared" si="0"/>
        <v>2.2966666666666666E-2</v>
      </c>
      <c r="C19" s="9">
        <f t="shared" si="1"/>
        <v>5.8950473953069105E-4</v>
      </c>
      <c r="D19" s="9">
        <f t="shared" si="2"/>
        <v>5.8926455778038817E-2</v>
      </c>
      <c r="E19" s="112">
        <f t="shared" si="7"/>
        <v>33.940612473512722</v>
      </c>
      <c r="F19" s="11">
        <f t="shared" si="3"/>
        <v>8.7005217581336924E-4</v>
      </c>
      <c r="G19" s="11">
        <f t="shared" si="4"/>
        <v>7.6039849391282194E-2</v>
      </c>
      <c r="H19" s="113">
        <f t="shared" si="8"/>
        <v>26.301998439114421</v>
      </c>
      <c r="I19" s="10">
        <f t="shared" si="5"/>
        <v>1.1505996120960474E-3</v>
      </c>
      <c r="J19" s="10">
        <f t="shared" si="6"/>
        <v>9.3153243004525557E-2</v>
      </c>
      <c r="K19" s="114">
        <f t="shared" si="9"/>
        <v>21.469998633357683</v>
      </c>
      <c r="M19" s="23"/>
      <c r="N19" s="1"/>
      <c r="R19" s="5"/>
    </row>
    <row r="20" spans="1:18" x14ac:dyDescent="0.2">
      <c r="A20" s="1">
        <v>14</v>
      </c>
      <c r="B20" s="1">
        <f t="shared" si="0"/>
        <v>2.4733333333333333E-2</v>
      </c>
      <c r="C20" s="9">
        <f t="shared" si="1"/>
        <v>6.3485125795612887E-4</v>
      </c>
      <c r="D20" s="9">
        <f t="shared" si="2"/>
        <v>6.3459260068657194E-2</v>
      </c>
      <c r="E20" s="112">
        <f t="shared" si="7"/>
        <v>31.516283011118951</v>
      </c>
      <c r="F20" s="11">
        <f t="shared" si="3"/>
        <v>9.3697926626055148E-4</v>
      </c>
      <c r="G20" s="11">
        <f t="shared" si="4"/>
        <v>8.1889068575226973E-2</v>
      </c>
      <c r="H20" s="113">
        <f t="shared" si="8"/>
        <v>24.423284264891965</v>
      </c>
      <c r="I20" s="10">
        <f t="shared" si="5"/>
        <v>1.2391072745649744E-3</v>
      </c>
      <c r="J20" s="10">
        <f t="shared" si="6"/>
        <v>0.10031887708179676</v>
      </c>
      <c r="K20" s="114">
        <f t="shared" si="9"/>
        <v>19.936427302403562</v>
      </c>
      <c r="M20" s="23">
        <v>33.5</v>
      </c>
      <c r="N20" s="1">
        <v>0</v>
      </c>
      <c r="O20" t="s">
        <v>75</v>
      </c>
      <c r="R20" s="5"/>
    </row>
    <row r="21" spans="1:18" x14ac:dyDescent="0.2">
      <c r="A21" s="1">
        <v>15</v>
      </c>
      <c r="B21" s="1">
        <f t="shared" si="0"/>
        <v>2.6499999999999999E-2</v>
      </c>
      <c r="C21" s="9">
        <f t="shared" si="1"/>
        <v>6.8019777638156668E-4</v>
      </c>
      <c r="D21" s="9">
        <f t="shared" si="2"/>
        <v>6.7992064359275572E-2</v>
      </c>
      <c r="E21" s="112">
        <f t="shared" si="7"/>
        <v>29.415197477044352</v>
      </c>
      <c r="F21" s="11">
        <f t="shared" si="3"/>
        <v>1.0039063567077338E-3</v>
      </c>
      <c r="G21" s="11">
        <f t="shared" si="4"/>
        <v>8.7738287759171765E-2</v>
      </c>
      <c r="H21" s="113">
        <f t="shared" si="8"/>
        <v>22.795065313899165</v>
      </c>
      <c r="I21" s="10">
        <f t="shared" si="5"/>
        <v>1.3276149370339012E-3</v>
      </c>
      <c r="J21" s="10">
        <f t="shared" si="6"/>
        <v>0.10748451115906797</v>
      </c>
      <c r="K21" s="114">
        <f t="shared" si="9"/>
        <v>18.60733214890999</v>
      </c>
      <c r="M21" s="23">
        <v>33.5</v>
      </c>
      <c r="N21" s="32">
        <f>550*0.037</f>
        <v>20.349999999999998</v>
      </c>
      <c r="R21" s="5"/>
    </row>
    <row r="22" spans="1:18" x14ac:dyDescent="0.2">
      <c r="A22" s="1">
        <v>16</v>
      </c>
      <c r="B22" s="1">
        <f t="shared" si="0"/>
        <v>2.8266666666666666E-2</v>
      </c>
      <c r="C22" s="9">
        <f t="shared" si="1"/>
        <v>7.2554429480700439E-4</v>
      </c>
      <c r="D22" s="9">
        <f t="shared" si="2"/>
        <v>7.2524868649893937E-2</v>
      </c>
      <c r="E22" s="112">
        <f t="shared" si="7"/>
        <v>27.576747634729081</v>
      </c>
      <c r="F22" s="11">
        <f t="shared" si="3"/>
        <v>1.0708334471549162E-3</v>
      </c>
      <c r="G22" s="11">
        <f t="shared" si="4"/>
        <v>9.3587506943116544E-2</v>
      </c>
      <c r="H22" s="113">
        <f t="shared" si="8"/>
        <v>21.370373731780468</v>
      </c>
      <c r="I22" s="10">
        <f t="shared" si="5"/>
        <v>1.4161225995028279E-3</v>
      </c>
      <c r="J22" s="10">
        <f t="shared" si="6"/>
        <v>0.11465014523633917</v>
      </c>
      <c r="K22" s="114">
        <f t="shared" si="9"/>
        <v>17.444373889603117</v>
      </c>
      <c r="M22" s="23">
        <v>33.5</v>
      </c>
      <c r="N22" s="32">
        <f>1000*0.037</f>
        <v>37</v>
      </c>
      <c r="R22" s="5"/>
    </row>
    <row r="23" spans="1:18" x14ac:dyDescent="0.2">
      <c r="A23" s="1">
        <v>17</v>
      </c>
      <c r="B23" s="1">
        <f t="shared" si="0"/>
        <v>3.0033333333333332E-2</v>
      </c>
      <c r="C23" s="9">
        <f t="shared" si="1"/>
        <v>7.7089081323244209E-4</v>
      </c>
      <c r="D23" s="9">
        <f t="shared" si="2"/>
        <v>7.7057672940512301E-2</v>
      </c>
      <c r="E23" s="112">
        <f t="shared" si="7"/>
        <v>25.954586009156785</v>
      </c>
      <c r="F23" s="11">
        <f t="shared" si="3"/>
        <v>1.1377605376020983E-3</v>
      </c>
      <c r="G23" s="11">
        <f t="shared" si="4"/>
        <v>9.9436726127061323E-2</v>
      </c>
      <c r="H23" s="113">
        <f t="shared" si="8"/>
        <v>20.113292924028677</v>
      </c>
      <c r="I23" s="10">
        <f t="shared" si="5"/>
        <v>1.5046302619717545E-3</v>
      </c>
      <c r="J23" s="10">
        <f t="shared" si="6"/>
        <v>0.12181577931361035</v>
      </c>
      <c r="K23" s="114">
        <f t="shared" si="9"/>
        <v>16.418234249038228</v>
      </c>
      <c r="M23" s="4"/>
      <c r="R23" s="5"/>
    </row>
    <row r="24" spans="1:18" x14ac:dyDescent="0.2">
      <c r="A24" s="1">
        <v>18</v>
      </c>
      <c r="B24" s="1">
        <f t="shared" si="0"/>
        <v>3.1800000000000002E-2</v>
      </c>
      <c r="C24" s="9">
        <f t="shared" si="1"/>
        <v>8.1623733165787991E-4</v>
      </c>
      <c r="D24" s="9">
        <f t="shared" si="2"/>
        <v>8.1590477231130679E-2</v>
      </c>
      <c r="E24" s="112">
        <f t="shared" si="7"/>
        <v>24.512664564203629</v>
      </c>
      <c r="F24" s="11">
        <f t="shared" si="3"/>
        <v>1.2046876280492804E-3</v>
      </c>
      <c r="G24" s="11">
        <f t="shared" si="4"/>
        <v>0.1052859453110061</v>
      </c>
      <c r="H24" s="113">
        <f t="shared" si="8"/>
        <v>18.99588776158264</v>
      </c>
      <c r="I24" s="10">
        <f t="shared" si="5"/>
        <v>1.5931379244406812E-3</v>
      </c>
      <c r="J24" s="10">
        <f t="shared" si="6"/>
        <v>0.12898141339088157</v>
      </c>
      <c r="K24" s="114">
        <f t="shared" si="9"/>
        <v>15.506110124091657</v>
      </c>
      <c r="M24" s="23">
        <v>0</v>
      </c>
      <c r="N24" s="32">
        <f>L7*0.037</f>
        <v>0.29692772003877876</v>
      </c>
      <c r="O24" t="s">
        <v>76</v>
      </c>
      <c r="R24" s="5"/>
    </row>
    <row r="25" spans="1:18" x14ac:dyDescent="0.2">
      <c r="A25" s="1">
        <v>19</v>
      </c>
      <c r="B25" s="1">
        <f t="shared" si="0"/>
        <v>3.3566666666666668E-2</v>
      </c>
      <c r="C25" s="9">
        <f t="shared" si="1"/>
        <v>8.6158385008331772E-4</v>
      </c>
      <c r="D25" s="9">
        <f t="shared" si="2"/>
        <v>8.6123281521749057E-2</v>
      </c>
      <c r="E25" s="112">
        <f t="shared" si="7"/>
        <v>23.222524323982384</v>
      </c>
      <c r="F25" s="11">
        <f t="shared" si="3"/>
        <v>1.2716147184964628E-3</v>
      </c>
      <c r="G25" s="11">
        <f t="shared" si="4"/>
        <v>0.11113516449495089</v>
      </c>
      <c r="H25" s="113">
        <f t="shared" si="8"/>
        <v>17.996104195183552</v>
      </c>
      <c r="I25" s="10">
        <f t="shared" si="5"/>
        <v>1.681645586909608E-3</v>
      </c>
      <c r="J25" s="10">
        <f t="shared" si="6"/>
        <v>0.13614704746815276</v>
      </c>
      <c r="K25" s="114">
        <f t="shared" si="9"/>
        <v>14.689999064928939</v>
      </c>
      <c r="M25" s="23">
        <v>63</v>
      </c>
      <c r="N25" s="32">
        <f>L7*0.037</f>
        <v>0.29692772003877876</v>
      </c>
      <c r="R25" s="5"/>
    </row>
    <row r="26" spans="1:18" x14ac:dyDescent="0.2">
      <c r="A26" s="1">
        <v>20</v>
      </c>
      <c r="B26" s="1">
        <f t="shared" si="0"/>
        <v>3.5333333333333335E-2</v>
      </c>
      <c r="C26" s="9">
        <f t="shared" si="1"/>
        <v>9.0693036850875554E-4</v>
      </c>
      <c r="D26" s="9">
        <f t="shared" si="2"/>
        <v>9.0656085812367421E-2</v>
      </c>
      <c r="E26" s="112">
        <f t="shared" si="7"/>
        <v>22.061398107783265</v>
      </c>
      <c r="F26" s="11">
        <f t="shared" si="3"/>
        <v>1.3385418089436451E-3</v>
      </c>
      <c r="G26" s="11">
        <f t="shared" si="4"/>
        <v>0.11698438367889569</v>
      </c>
      <c r="H26" s="113">
        <f t="shared" si="8"/>
        <v>17.096298985424372</v>
      </c>
      <c r="I26" s="10">
        <f t="shared" si="5"/>
        <v>1.7701532493785348E-3</v>
      </c>
      <c r="J26" s="10">
        <f t="shared" si="6"/>
        <v>0.14331268154542395</v>
      </c>
      <c r="K26" s="114">
        <f t="shared" si="9"/>
        <v>13.955499111682492</v>
      </c>
      <c r="M26" s="23">
        <v>100</v>
      </c>
      <c r="N26" s="32">
        <f>L7*0.037</f>
        <v>0.29692772003877876</v>
      </c>
      <c r="R26" s="5"/>
    </row>
    <row r="27" spans="1:18" x14ac:dyDescent="0.2">
      <c r="A27" s="1">
        <v>21</v>
      </c>
      <c r="B27" s="1">
        <f t="shared" si="0"/>
        <v>3.7100000000000001E-2</v>
      </c>
      <c r="C27" s="9">
        <f t="shared" si="1"/>
        <v>9.5227688693419335E-4</v>
      </c>
      <c r="D27" s="9">
        <f t="shared" si="2"/>
        <v>9.5188890102985799E-2</v>
      </c>
      <c r="E27" s="112">
        <f t="shared" si="7"/>
        <v>21.010855340745966</v>
      </c>
      <c r="F27" s="11">
        <f t="shared" si="3"/>
        <v>1.4054688993908274E-3</v>
      </c>
      <c r="G27" s="11">
        <f t="shared" si="4"/>
        <v>0.12283360286284048</v>
      </c>
      <c r="H27" s="113">
        <f t="shared" si="8"/>
        <v>16.282189509927974</v>
      </c>
      <c r="I27" s="10">
        <f t="shared" si="5"/>
        <v>1.8586609118474615E-3</v>
      </c>
      <c r="J27" s="10">
        <f t="shared" si="6"/>
        <v>0.15047831562269515</v>
      </c>
      <c r="K27" s="114">
        <f t="shared" si="9"/>
        <v>13.290951534935708</v>
      </c>
      <c r="M27" s="4"/>
      <c r="R27" s="5"/>
    </row>
    <row r="28" spans="1:18" x14ac:dyDescent="0.2">
      <c r="A28" s="1">
        <v>22</v>
      </c>
      <c r="B28" s="1">
        <f t="shared" si="0"/>
        <v>3.8866666666666667E-2</v>
      </c>
      <c r="C28" s="9">
        <f t="shared" si="1"/>
        <v>9.9762340535963106E-4</v>
      </c>
      <c r="D28" s="9">
        <f t="shared" si="2"/>
        <v>9.9721694393604163E-2</v>
      </c>
      <c r="E28" s="112">
        <f t="shared" si="7"/>
        <v>20.055816461621152</v>
      </c>
      <c r="F28" s="11">
        <f t="shared" si="3"/>
        <v>1.4723959898380096E-3</v>
      </c>
      <c r="G28" s="11">
        <f t="shared" si="4"/>
        <v>0.12868282204678524</v>
      </c>
      <c r="H28" s="113">
        <f t="shared" si="8"/>
        <v>15.542089986749431</v>
      </c>
      <c r="I28" s="10">
        <f t="shared" si="5"/>
        <v>1.9471685743163881E-3</v>
      </c>
      <c r="J28" s="10">
        <f t="shared" si="6"/>
        <v>0.15764394969996634</v>
      </c>
      <c r="K28" s="114">
        <f t="shared" si="9"/>
        <v>12.686817374256812</v>
      </c>
      <c r="M28" s="23">
        <v>15</v>
      </c>
      <c r="N28" s="32">
        <f>Lung!E34*0.037</f>
        <v>4.4227149493363331</v>
      </c>
      <c r="O28" t="s">
        <v>59</v>
      </c>
      <c r="R28" s="5"/>
    </row>
    <row r="29" spans="1:18" x14ac:dyDescent="0.2">
      <c r="A29" s="1">
        <v>23</v>
      </c>
      <c r="B29" s="1">
        <f t="shared" si="0"/>
        <v>4.0633333333333334E-2</v>
      </c>
      <c r="C29" s="9">
        <f t="shared" si="1"/>
        <v>1.0429699237850688E-3</v>
      </c>
      <c r="D29" s="9">
        <f t="shared" si="2"/>
        <v>0.10425449868422254</v>
      </c>
      <c r="E29" s="112">
        <f t="shared" si="7"/>
        <v>19.183824441550666</v>
      </c>
      <c r="F29" s="11">
        <f t="shared" si="3"/>
        <v>1.5393230802851917E-3</v>
      </c>
      <c r="G29" s="11">
        <f t="shared" si="4"/>
        <v>0.13453204123073004</v>
      </c>
      <c r="H29" s="113">
        <f t="shared" si="8"/>
        <v>14.866346943847281</v>
      </c>
      <c r="I29" s="10">
        <f t="shared" si="5"/>
        <v>2.035676236785315E-3</v>
      </c>
      <c r="J29" s="10">
        <f t="shared" si="6"/>
        <v>0.16480958377723756</v>
      </c>
      <c r="K29" s="114">
        <f t="shared" si="9"/>
        <v>12.13521661885434</v>
      </c>
      <c r="M29" s="23">
        <v>33</v>
      </c>
      <c r="N29" s="32">
        <f>Lung!E34*0.037</f>
        <v>4.4227149493363331</v>
      </c>
      <c r="R29" s="5"/>
    </row>
    <row r="30" spans="1:18" x14ac:dyDescent="0.2">
      <c r="A30" s="1">
        <v>24</v>
      </c>
      <c r="B30" s="1">
        <f t="shared" si="0"/>
        <v>4.24E-2</v>
      </c>
      <c r="C30" s="9">
        <f t="shared" si="1"/>
        <v>1.0883164422105067E-3</v>
      </c>
      <c r="D30" s="9">
        <f t="shared" si="2"/>
        <v>0.1087873029748409</v>
      </c>
      <c r="E30" s="112">
        <f t="shared" si="7"/>
        <v>18.384498423152721</v>
      </c>
      <c r="F30" s="11">
        <f t="shared" si="3"/>
        <v>1.606250170732374E-3</v>
      </c>
      <c r="G30" s="11">
        <f t="shared" si="4"/>
        <v>0.1403812604146748</v>
      </c>
      <c r="H30" s="113">
        <f t="shared" si="8"/>
        <v>14.246915821186981</v>
      </c>
      <c r="I30" s="10">
        <f t="shared" si="5"/>
        <v>2.1241838992542418E-3</v>
      </c>
      <c r="J30" s="10">
        <f t="shared" si="6"/>
        <v>0.17197521785450876</v>
      </c>
      <c r="K30" s="114">
        <f t="shared" si="9"/>
        <v>11.629582593068744</v>
      </c>
      <c r="M30" s="23">
        <v>72</v>
      </c>
      <c r="N30" s="32">
        <f>Lung!E34*0.037</f>
        <v>4.4227149493363331</v>
      </c>
      <c r="R30" s="5"/>
    </row>
    <row r="31" spans="1:18" x14ac:dyDescent="0.2">
      <c r="A31" s="1">
        <v>25</v>
      </c>
      <c r="B31" s="1">
        <f t="shared" si="0"/>
        <v>4.4166666666666667E-2</v>
      </c>
      <c r="C31" s="9">
        <f t="shared" si="1"/>
        <v>1.1336629606359444E-3</v>
      </c>
      <c r="D31" s="9">
        <f t="shared" si="2"/>
        <v>0.11332010726545927</v>
      </c>
      <c r="E31" s="112">
        <f t="shared" si="7"/>
        <v>17.649118486226612</v>
      </c>
      <c r="F31" s="11">
        <f t="shared" si="3"/>
        <v>1.6731772611795564E-3</v>
      </c>
      <c r="G31" s="11">
        <f t="shared" si="4"/>
        <v>0.14623047959861959</v>
      </c>
      <c r="H31" s="113">
        <f t="shared" si="8"/>
        <v>13.677039188339501</v>
      </c>
      <c r="I31" s="10">
        <f t="shared" si="5"/>
        <v>2.2126915617231686E-3</v>
      </c>
      <c r="J31" s="10">
        <f t="shared" si="6"/>
        <v>0.17914085193177995</v>
      </c>
      <c r="K31" s="114">
        <f t="shared" si="9"/>
        <v>11.164399289345994</v>
      </c>
      <c r="M31" s="4"/>
      <c r="R31" s="5"/>
    </row>
    <row r="32" spans="1:18" x14ac:dyDescent="0.2">
      <c r="A32" s="1">
        <v>26</v>
      </c>
      <c r="B32" s="1">
        <f t="shared" si="0"/>
        <v>4.5933333333333333E-2</v>
      </c>
      <c r="C32" s="9">
        <f t="shared" si="1"/>
        <v>1.1790094790613821E-3</v>
      </c>
      <c r="D32" s="9">
        <f t="shared" si="2"/>
        <v>0.11785291155607763</v>
      </c>
      <c r="E32" s="112">
        <f t="shared" si="7"/>
        <v>16.970306236756361</v>
      </c>
      <c r="F32" s="11">
        <f t="shared" si="3"/>
        <v>1.7401043516267385E-3</v>
      </c>
      <c r="G32" s="11">
        <f t="shared" si="4"/>
        <v>0.15207969878256439</v>
      </c>
      <c r="H32" s="113">
        <f t="shared" si="8"/>
        <v>13.15099921955721</v>
      </c>
      <c r="I32" s="10">
        <f t="shared" si="5"/>
        <v>2.3011992241920949E-3</v>
      </c>
      <c r="J32" s="10">
        <f t="shared" si="6"/>
        <v>0.18630648600905111</v>
      </c>
      <c r="K32" s="114">
        <f t="shared" si="9"/>
        <v>10.734999316678842</v>
      </c>
      <c r="M32" s="23">
        <v>15</v>
      </c>
      <c r="N32" s="32">
        <f>Lung!E21*0.037</f>
        <v>5.7856253257435846</v>
      </c>
      <c r="O32" t="s">
        <v>60</v>
      </c>
      <c r="R32" s="5"/>
    </row>
    <row r="33" spans="1:18" x14ac:dyDescent="0.2">
      <c r="A33" s="1">
        <v>27</v>
      </c>
      <c r="B33" s="1">
        <f t="shared" si="0"/>
        <v>4.7699999999999999E-2</v>
      </c>
      <c r="C33" s="9">
        <f t="shared" si="1"/>
        <v>1.2243559974868198E-3</v>
      </c>
      <c r="D33" s="9">
        <f t="shared" si="2"/>
        <v>0.122385715846696</v>
      </c>
      <c r="E33" s="112">
        <f t="shared" si="7"/>
        <v>16.341776376135755</v>
      </c>
      <c r="F33" s="11">
        <f t="shared" si="3"/>
        <v>1.8070314420739208E-3</v>
      </c>
      <c r="G33" s="11">
        <f t="shared" si="4"/>
        <v>0.15792891796650918</v>
      </c>
      <c r="H33" s="113">
        <f t="shared" si="8"/>
        <v>12.663925174388424</v>
      </c>
      <c r="I33" s="10">
        <f t="shared" si="5"/>
        <v>2.3897068866610216E-3</v>
      </c>
      <c r="J33" s="10">
        <f t="shared" si="6"/>
        <v>0.19347212008632231</v>
      </c>
      <c r="K33" s="114">
        <f t="shared" si="9"/>
        <v>10.337406749394441</v>
      </c>
      <c r="M33" s="23">
        <v>33</v>
      </c>
      <c r="N33" s="32">
        <f>Lung!E21*0.037</f>
        <v>5.7856253257435846</v>
      </c>
      <c r="R33" s="5"/>
    </row>
    <row r="34" spans="1:18" x14ac:dyDescent="0.2">
      <c r="A34" s="1">
        <v>28</v>
      </c>
      <c r="B34" s="1">
        <f t="shared" si="0"/>
        <v>4.9466666666666666E-2</v>
      </c>
      <c r="C34" s="9">
        <f t="shared" si="1"/>
        <v>1.2697025159122577E-3</v>
      </c>
      <c r="D34" s="9">
        <f t="shared" si="2"/>
        <v>0.12691852013731439</v>
      </c>
      <c r="E34" s="112">
        <f t="shared" si="7"/>
        <v>15.758141505559475</v>
      </c>
      <c r="F34" s="11">
        <f t="shared" si="3"/>
        <v>1.873958532521103E-3</v>
      </c>
      <c r="G34" s="11">
        <f t="shared" si="4"/>
        <v>0.16377813715045395</v>
      </c>
      <c r="H34" s="113">
        <f t="shared" si="8"/>
        <v>12.211642132445983</v>
      </c>
      <c r="I34" s="10">
        <f t="shared" si="5"/>
        <v>2.4782145491299488E-3</v>
      </c>
      <c r="J34" s="10">
        <f t="shared" si="6"/>
        <v>0.20063775416359353</v>
      </c>
      <c r="K34" s="114">
        <f t="shared" si="9"/>
        <v>9.9682136512017809</v>
      </c>
      <c r="M34" s="33">
        <v>72</v>
      </c>
      <c r="N34" s="115">
        <f>Lung!E21*0.037</f>
        <v>5.7856253257435846</v>
      </c>
      <c r="O34" s="30"/>
      <c r="P34" s="30"/>
      <c r="Q34" s="30"/>
      <c r="R34" s="7"/>
    </row>
    <row r="35" spans="1:18" x14ac:dyDescent="0.2">
      <c r="A35" s="1">
        <v>29</v>
      </c>
      <c r="B35" s="1">
        <f t="shared" si="0"/>
        <v>5.1233333333333332E-2</v>
      </c>
      <c r="C35" s="9">
        <f t="shared" si="1"/>
        <v>1.3150490343376954E-3</v>
      </c>
      <c r="D35" s="9">
        <f t="shared" si="2"/>
        <v>0.13145132442793275</v>
      </c>
      <c r="E35" s="112">
        <f t="shared" si="7"/>
        <v>15.214757315712598</v>
      </c>
      <c r="F35" s="11">
        <f t="shared" si="3"/>
        <v>1.9408856229682853E-3</v>
      </c>
      <c r="G35" s="11">
        <f t="shared" si="4"/>
        <v>0.16962735633439874</v>
      </c>
      <c r="H35" s="113">
        <f t="shared" si="8"/>
        <v>11.790551024430604</v>
      </c>
      <c r="I35" s="10">
        <f t="shared" si="5"/>
        <v>2.5667222115988756E-3</v>
      </c>
      <c r="J35" s="10">
        <f t="shared" si="6"/>
        <v>0.20780338824086472</v>
      </c>
      <c r="K35" s="114">
        <f t="shared" si="9"/>
        <v>9.6244821459879262</v>
      </c>
    </row>
    <row r="36" spans="1:18" x14ac:dyDescent="0.2">
      <c r="A36" s="1">
        <v>30</v>
      </c>
      <c r="B36" s="1">
        <f t="shared" si="0"/>
        <v>5.2999999999999999E-2</v>
      </c>
      <c r="C36" s="9">
        <f t="shared" si="1"/>
        <v>1.3603955527631334E-3</v>
      </c>
      <c r="D36" s="9">
        <f t="shared" si="2"/>
        <v>0.13598412871855114</v>
      </c>
      <c r="E36" s="112">
        <f t="shared" si="7"/>
        <v>14.707598738522176</v>
      </c>
      <c r="F36" s="11">
        <f t="shared" si="3"/>
        <v>2.0078127134154676E-3</v>
      </c>
      <c r="G36" s="11">
        <f t="shared" si="4"/>
        <v>0.17547657551834353</v>
      </c>
      <c r="H36" s="113">
        <f t="shared" si="8"/>
        <v>11.397532656949583</v>
      </c>
      <c r="I36" s="10">
        <f t="shared" si="5"/>
        <v>2.6552298740678023E-3</v>
      </c>
      <c r="J36" s="10">
        <f t="shared" si="6"/>
        <v>0.21496902231813594</v>
      </c>
      <c r="K36" s="114">
        <f t="shared" si="9"/>
        <v>9.3036660744549948</v>
      </c>
    </row>
    <row r="37" spans="1:18" x14ac:dyDescent="0.2">
      <c r="A37" s="1">
        <v>31</v>
      </c>
      <c r="B37" s="1">
        <f t="shared" si="0"/>
        <v>5.4766666666666665E-2</v>
      </c>
      <c r="C37" s="9">
        <f t="shared" si="1"/>
        <v>1.4057420711885711E-3</v>
      </c>
      <c r="D37" s="9">
        <f t="shared" si="2"/>
        <v>0.14051693300916951</v>
      </c>
      <c r="E37" s="112">
        <f t="shared" si="7"/>
        <v>14.23316006953759</v>
      </c>
      <c r="F37" s="11">
        <f t="shared" si="3"/>
        <v>2.07473980386265E-3</v>
      </c>
      <c r="G37" s="11">
        <f t="shared" si="4"/>
        <v>0.1813257947022883</v>
      </c>
      <c r="H37" s="113">
        <f t="shared" si="8"/>
        <v>11.029870313177016</v>
      </c>
      <c r="I37" s="10">
        <f t="shared" si="5"/>
        <v>2.7437375365367291E-3</v>
      </c>
      <c r="J37" s="10">
        <f t="shared" si="6"/>
        <v>0.22213465639540714</v>
      </c>
      <c r="K37" s="114">
        <f t="shared" si="9"/>
        <v>9.0035478139887051</v>
      </c>
    </row>
    <row r="38" spans="1:18" x14ac:dyDescent="0.2">
      <c r="A38" s="1">
        <v>32</v>
      </c>
      <c r="B38" s="1">
        <f t="shared" si="0"/>
        <v>5.6533333333333331E-2</v>
      </c>
      <c r="C38" s="9">
        <f t="shared" si="1"/>
        <v>1.4510885896140088E-3</v>
      </c>
      <c r="D38" s="9">
        <f t="shared" si="2"/>
        <v>0.14504973729978787</v>
      </c>
      <c r="E38" s="112">
        <f t="shared" si="7"/>
        <v>13.78837381736454</v>
      </c>
      <c r="F38" s="11">
        <f t="shared" si="3"/>
        <v>2.1416668943098323E-3</v>
      </c>
      <c r="G38" s="11">
        <f t="shared" si="4"/>
        <v>0.18717501388623309</v>
      </c>
      <c r="H38" s="113">
        <f t="shared" si="8"/>
        <v>10.685186865890234</v>
      </c>
      <c r="I38" s="10">
        <f t="shared" si="5"/>
        <v>2.8322451990056559E-3</v>
      </c>
      <c r="J38" s="10">
        <f t="shared" si="6"/>
        <v>0.22930029047267833</v>
      </c>
      <c r="K38" s="114">
        <f t="shared" si="9"/>
        <v>8.7221869448015585</v>
      </c>
    </row>
    <row r="39" spans="1:18" x14ac:dyDescent="0.2">
      <c r="A39" s="25">
        <v>33.5</v>
      </c>
      <c r="B39" s="1">
        <f t="shared" si="0"/>
        <v>5.9183333333333331E-2</v>
      </c>
      <c r="C39" s="9">
        <f t="shared" si="1"/>
        <v>1.5191083672521654E-3</v>
      </c>
      <c r="D39" s="9">
        <f t="shared" si="2"/>
        <v>0.15184894373571542</v>
      </c>
      <c r="E39" s="116">
        <f t="shared" si="7"/>
        <v>13.170983944945235</v>
      </c>
      <c r="F39" s="11">
        <f t="shared" si="3"/>
        <v>2.2420575299806054E-3</v>
      </c>
      <c r="G39" s="11">
        <f t="shared" si="4"/>
        <v>0.19594884266215026</v>
      </c>
      <c r="H39" s="113">
        <f t="shared" si="8"/>
        <v>10.206745662939925</v>
      </c>
      <c r="I39" s="10">
        <f t="shared" si="5"/>
        <v>2.9650066927090456E-3</v>
      </c>
      <c r="J39" s="10">
        <f t="shared" si="6"/>
        <v>0.24004874158858511</v>
      </c>
      <c r="K39" s="114">
        <f t="shared" si="9"/>
        <v>8.3316412607059664</v>
      </c>
    </row>
    <row r="40" spans="1:18" x14ac:dyDescent="0.2">
      <c r="A40" s="1">
        <v>34</v>
      </c>
      <c r="B40" s="1">
        <f t="shared" si="0"/>
        <v>6.0066666666666664E-2</v>
      </c>
      <c r="C40" s="9">
        <f t="shared" si="1"/>
        <v>1.5417816264648842E-3</v>
      </c>
      <c r="D40" s="9">
        <f t="shared" si="2"/>
        <v>0.1541153458810246</v>
      </c>
      <c r="E40" s="112">
        <f t="shared" si="7"/>
        <v>12.977293004578392</v>
      </c>
      <c r="F40" s="11">
        <f t="shared" si="3"/>
        <v>2.2755210752041966E-3</v>
      </c>
      <c r="G40" s="11">
        <f t="shared" si="4"/>
        <v>0.19887345225412265</v>
      </c>
      <c r="H40" s="113">
        <f t="shared" si="8"/>
        <v>10.056646462014339</v>
      </c>
      <c r="I40" s="10">
        <f t="shared" si="5"/>
        <v>3.009260523943509E-3</v>
      </c>
      <c r="J40" s="10">
        <f t="shared" si="6"/>
        <v>0.24363155862722069</v>
      </c>
      <c r="K40" s="114">
        <f t="shared" si="9"/>
        <v>8.2091171245191141</v>
      </c>
    </row>
    <row r="41" spans="1:18" x14ac:dyDescent="0.2">
      <c r="A41" s="1">
        <v>35</v>
      </c>
      <c r="B41" s="1">
        <f t="shared" si="0"/>
        <v>6.183333333333333E-2</v>
      </c>
      <c r="C41" s="9">
        <f t="shared" si="1"/>
        <v>1.5871281448903219E-3</v>
      </c>
      <c r="D41" s="9">
        <f t="shared" si="2"/>
        <v>0.15864815017164297</v>
      </c>
      <c r="E41" s="112">
        <f t="shared" si="7"/>
        <v>12.606513204447582</v>
      </c>
      <c r="F41" s="11">
        <f t="shared" si="3"/>
        <v>2.3424481656513785E-3</v>
      </c>
      <c r="G41" s="11">
        <f t="shared" si="4"/>
        <v>0.20472267143806741</v>
      </c>
      <c r="H41" s="113">
        <f t="shared" si="8"/>
        <v>9.7693137059567867</v>
      </c>
      <c r="I41" s="10">
        <f t="shared" si="5"/>
        <v>3.0977681864124357E-3</v>
      </c>
      <c r="J41" s="10">
        <f t="shared" si="6"/>
        <v>0.25079719270449191</v>
      </c>
      <c r="K41" s="114">
        <f t="shared" si="9"/>
        <v>7.9745709209614253</v>
      </c>
    </row>
    <row r="42" spans="1:18" x14ac:dyDescent="0.2">
      <c r="A42" s="1">
        <v>36</v>
      </c>
      <c r="B42" s="1">
        <f t="shared" si="0"/>
        <v>6.3600000000000004E-2</v>
      </c>
      <c r="C42" s="9">
        <f t="shared" si="1"/>
        <v>1.6324746633157598E-3</v>
      </c>
      <c r="D42" s="9">
        <f t="shared" si="2"/>
        <v>0.16318095446226136</v>
      </c>
      <c r="E42" s="112">
        <f t="shared" si="7"/>
        <v>12.256332282101814</v>
      </c>
      <c r="F42" s="11">
        <f t="shared" si="3"/>
        <v>2.4093752560985608E-3</v>
      </c>
      <c r="G42" s="11">
        <f t="shared" si="4"/>
        <v>0.2105718906220122</v>
      </c>
      <c r="H42" s="113">
        <f t="shared" si="8"/>
        <v>9.4979438807913201</v>
      </c>
      <c r="I42" s="10">
        <f t="shared" si="5"/>
        <v>3.1862758488813625E-3</v>
      </c>
      <c r="J42" s="10">
        <f t="shared" si="6"/>
        <v>0.25796282678176313</v>
      </c>
      <c r="K42" s="114">
        <f t="shared" si="9"/>
        <v>7.7530550620458287</v>
      </c>
    </row>
    <row r="43" spans="1:18" x14ac:dyDescent="0.2">
      <c r="A43" s="1">
        <v>37</v>
      </c>
      <c r="B43" s="1">
        <f t="shared" si="0"/>
        <v>6.536666666666667E-2</v>
      </c>
      <c r="C43" s="9">
        <f t="shared" si="1"/>
        <v>1.6778211817411975E-3</v>
      </c>
      <c r="D43" s="9">
        <f t="shared" si="2"/>
        <v>0.16771375875287972</v>
      </c>
      <c r="E43" s="112">
        <f t="shared" si="7"/>
        <v>11.925080058261225</v>
      </c>
      <c r="F43" s="11">
        <f t="shared" si="3"/>
        <v>2.4763023465457432E-3</v>
      </c>
      <c r="G43" s="11">
        <f t="shared" si="4"/>
        <v>0.21642110980595702</v>
      </c>
      <c r="H43" s="113">
        <f t="shared" si="8"/>
        <v>9.2412426948239865</v>
      </c>
      <c r="I43" s="10">
        <f t="shared" si="5"/>
        <v>3.2747835113502892E-3</v>
      </c>
      <c r="J43" s="10">
        <f t="shared" si="6"/>
        <v>0.2651284608590343</v>
      </c>
      <c r="K43" s="114">
        <f t="shared" si="9"/>
        <v>7.5435130333418883</v>
      </c>
    </row>
    <row r="44" spans="1:18" x14ac:dyDescent="0.2">
      <c r="A44" s="1">
        <v>38</v>
      </c>
      <c r="B44" s="1">
        <f t="shared" si="0"/>
        <v>6.7133333333333337E-2</v>
      </c>
      <c r="C44" s="9">
        <f t="shared" si="1"/>
        <v>1.7231677001666354E-3</v>
      </c>
      <c r="D44" s="9">
        <f t="shared" si="2"/>
        <v>0.17224656304349811</v>
      </c>
      <c r="E44" s="112">
        <f t="shared" si="7"/>
        <v>11.611262161991192</v>
      </c>
      <c r="F44" s="11">
        <f t="shared" si="3"/>
        <v>2.5432294369929255E-3</v>
      </c>
      <c r="G44" s="11">
        <f t="shared" si="4"/>
        <v>0.22227032898990179</v>
      </c>
      <c r="H44" s="113">
        <f t="shared" si="8"/>
        <v>8.9980520975917759</v>
      </c>
      <c r="I44" s="10">
        <f t="shared" si="5"/>
        <v>3.363291173819216E-3</v>
      </c>
      <c r="J44" s="10">
        <f t="shared" si="6"/>
        <v>0.27229409493630552</v>
      </c>
      <c r="K44" s="114">
        <f t="shared" si="9"/>
        <v>7.3449995324644695</v>
      </c>
    </row>
    <row r="45" spans="1:18" x14ac:dyDescent="0.2">
      <c r="A45" s="1">
        <v>39</v>
      </c>
      <c r="B45" s="1">
        <f t="shared" si="0"/>
        <v>6.8900000000000003E-2</v>
      </c>
      <c r="C45" s="9">
        <f t="shared" si="1"/>
        <v>1.7685142185920732E-3</v>
      </c>
      <c r="D45" s="9">
        <f t="shared" si="2"/>
        <v>0.17677936733411648</v>
      </c>
      <c r="E45" s="112">
        <f t="shared" si="7"/>
        <v>11.313537491170905</v>
      </c>
      <c r="F45" s="11">
        <f t="shared" si="3"/>
        <v>2.6101565274401078E-3</v>
      </c>
      <c r="G45" s="11">
        <f t="shared" si="4"/>
        <v>0.22811954817384661</v>
      </c>
      <c r="H45" s="113">
        <f t="shared" si="8"/>
        <v>8.7673328130381396</v>
      </c>
      <c r="I45" s="10">
        <f t="shared" si="5"/>
        <v>3.4517988362881427E-3</v>
      </c>
      <c r="J45" s="10">
        <f t="shared" si="6"/>
        <v>0.27945972901357669</v>
      </c>
      <c r="K45" s="114">
        <f t="shared" si="9"/>
        <v>7.1566662111192274</v>
      </c>
    </row>
    <row r="46" spans="1:18" x14ac:dyDescent="0.2">
      <c r="A46" s="1">
        <v>40</v>
      </c>
      <c r="B46" s="1">
        <f t="shared" si="0"/>
        <v>7.0666666666666669E-2</v>
      </c>
      <c r="C46" s="9">
        <f t="shared" si="1"/>
        <v>1.8138607370175111E-3</v>
      </c>
      <c r="D46" s="9">
        <f t="shared" si="2"/>
        <v>0.18131217162473484</v>
      </c>
      <c r="E46" s="112">
        <f t="shared" si="7"/>
        <v>11.030699053891633</v>
      </c>
      <c r="F46" s="11">
        <f t="shared" si="3"/>
        <v>2.6770836178872902E-3</v>
      </c>
      <c r="G46" s="11">
        <f t="shared" si="4"/>
        <v>0.23396876735779137</v>
      </c>
      <c r="H46" s="113">
        <f t="shared" si="8"/>
        <v>8.5481494927121862</v>
      </c>
      <c r="I46" s="10">
        <f t="shared" si="5"/>
        <v>3.5403064987570695E-3</v>
      </c>
      <c r="J46" s="10">
        <f t="shared" si="6"/>
        <v>0.28662536309084791</v>
      </c>
      <c r="K46" s="114">
        <f t="shared" si="9"/>
        <v>6.9777495558412461</v>
      </c>
    </row>
    <row r="47" spans="1:18" x14ac:dyDescent="0.2">
      <c r="A47" s="1">
        <v>41</v>
      </c>
      <c r="B47" s="1">
        <f t="shared" si="0"/>
        <v>7.2433333333333336E-2</v>
      </c>
      <c r="C47" s="9">
        <f t="shared" si="1"/>
        <v>1.8592072554429488E-3</v>
      </c>
      <c r="D47" s="9">
        <f t="shared" si="2"/>
        <v>0.18584497591535321</v>
      </c>
      <c r="E47" s="112">
        <f t="shared" si="7"/>
        <v>10.761657613552813</v>
      </c>
      <c r="F47" s="11">
        <f t="shared" si="3"/>
        <v>2.7440107083344725E-3</v>
      </c>
      <c r="G47" s="11">
        <f t="shared" si="4"/>
        <v>0.23981798654173614</v>
      </c>
      <c r="H47" s="113">
        <f t="shared" si="8"/>
        <v>8.3396580416704271</v>
      </c>
      <c r="I47" s="10">
        <f t="shared" si="5"/>
        <v>3.6288141612259963E-3</v>
      </c>
      <c r="J47" s="10">
        <f t="shared" si="6"/>
        <v>0.29379099716811913</v>
      </c>
      <c r="K47" s="114">
        <f t="shared" si="9"/>
        <v>6.8075605422841425</v>
      </c>
    </row>
    <row r="48" spans="1:18" x14ac:dyDescent="0.2">
      <c r="A48" s="1">
        <v>42.4</v>
      </c>
      <c r="B48" s="1">
        <f t="shared" ref="B48:B78" si="10">$F$6*A48</f>
        <v>7.4906666666666663E-2</v>
      </c>
      <c r="C48" s="9">
        <f t="shared" ref="C48:C78" si="11">($C$13/100)*(A48/$B$8)</f>
        <v>1.9226923812385615E-3</v>
      </c>
      <c r="D48" s="9">
        <f t="shared" ref="D48:D78" si="12">($F$5*C48)+B48</f>
        <v>0.19219090192221891</v>
      </c>
      <c r="E48" s="112">
        <f t="shared" si="7"/>
        <v>10.406319862161919</v>
      </c>
      <c r="F48" s="11">
        <f t="shared" ref="F48:F78" si="13">($F$13/100)*(A48/$B$8)</f>
        <v>2.8377086349605273E-3</v>
      </c>
      <c r="G48" s="11">
        <f t="shared" ref="G48:G78" si="14">($F$5*F48)+B48</f>
        <v>0.24800689339925885</v>
      </c>
      <c r="H48" s="113">
        <f t="shared" si="8"/>
        <v>8.0642919742567809</v>
      </c>
      <c r="I48" s="10">
        <f t="shared" ref="I48:I78" si="15">($I$13/100)*(A48/$B$8)</f>
        <v>3.7527248886824933E-3</v>
      </c>
      <c r="J48" s="10">
        <f t="shared" ref="J48:J78" si="16">($F$5*I48)+B48</f>
        <v>0.30382288487629877</v>
      </c>
      <c r="K48" s="114">
        <f t="shared" si="9"/>
        <v>6.5827825998502325</v>
      </c>
    </row>
    <row r="49" spans="1:15" x14ac:dyDescent="0.2">
      <c r="A49" s="1">
        <v>43</v>
      </c>
      <c r="B49" s="1">
        <f t="shared" si="10"/>
        <v>7.5966666666666668E-2</v>
      </c>
      <c r="C49" s="9">
        <f t="shared" si="11"/>
        <v>1.9499002922938242E-3</v>
      </c>
      <c r="D49" s="9">
        <f t="shared" si="12"/>
        <v>0.19491058449658993</v>
      </c>
      <c r="E49" s="112">
        <f t="shared" si="7"/>
        <v>10.261115398968961</v>
      </c>
      <c r="F49" s="11">
        <f t="shared" si="13"/>
        <v>2.8778648892288368E-3</v>
      </c>
      <c r="G49" s="11">
        <f t="shared" si="14"/>
        <v>0.25151642490962572</v>
      </c>
      <c r="H49" s="113">
        <f t="shared" si="8"/>
        <v>7.951766969964825</v>
      </c>
      <c r="I49" s="10">
        <f t="shared" si="15"/>
        <v>3.8058294861638494E-3</v>
      </c>
      <c r="J49" s="10">
        <f t="shared" si="16"/>
        <v>0.30812226532266146</v>
      </c>
      <c r="K49" s="114">
        <f t="shared" si="9"/>
        <v>6.4909298193872074</v>
      </c>
    </row>
    <row r="50" spans="1:15" x14ac:dyDescent="0.2">
      <c r="A50" s="1">
        <v>44</v>
      </c>
      <c r="B50" s="1">
        <f t="shared" si="10"/>
        <v>7.7733333333333335E-2</v>
      </c>
      <c r="C50" s="9">
        <f t="shared" si="11"/>
        <v>1.9952468107192621E-3</v>
      </c>
      <c r="D50" s="9">
        <f t="shared" si="12"/>
        <v>0.19944338878720833</v>
      </c>
      <c r="E50" s="112">
        <f t="shared" si="7"/>
        <v>10.027908230810576</v>
      </c>
      <c r="F50" s="11">
        <f t="shared" si="13"/>
        <v>2.9447919796760191E-3</v>
      </c>
      <c r="G50" s="11">
        <f t="shared" si="14"/>
        <v>0.25736564409357049</v>
      </c>
      <c r="H50" s="113">
        <f t="shared" si="8"/>
        <v>7.7710449933747157</v>
      </c>
      <c r="I50" s="10">
        <f t="shared" si="15"/>
        <v>3.8943371486327761E-3</v>
      </c>
      <c r="J50" s="10">
        <f t="shared" si="16"/>
        <v>0.31528789939993268</v>
      </c>
      <c r="K50" s="114">
        <f t="shared" si="9"/>
        <v>6.3434086871284059</v>
      </c>
    </row>
    <row r="51" spans="1:15" x14ac:dyDescent="0.2">
      <c r="A51" s="1">
        <v>45</v>
      </c>
      <c r="B51" s="1">
        <f t="shared" si="10"/>
        <v>7.9500000000000001E-2</v>
      </c>
      <c r="C51" s="9">
        <f t="shared" si="11"/>
        <v>2.0405933291446996E-3</v>
      </c>
      <c r="D51" s="9">
        <f t="shared" si="12"/>
        <v>0.20397619307782666</v>
      </c>
      <c r="E51" s="112">
        <f t="shared" si="7"/>
        <v>9.8050658256814529</v>
      </c>
      <c r="F51" s="11">
        <f t="shared" si="13"/>
        <v>3.011719070123201E-3</v>
      </c>
      <c r="G51" s="11">
        <f t="shared" si="14"/>
        <v>0.26321486327751525</v>
      </c>
      <c r="H51" s="113">
        <f t="shared" si="8"/>
        <v>7.5983551046330566</v>
      </c>
      <c r="I51" s="10">
        <f t="shared" si="15"/>
        <v>3.9828448111017033E-3</v>
      </c>
      <c r="J51" s="10">
        <f t="shared" si="16"/>
        <v>0.3224535334772039</v>
      </c>
      <c r="K51" s="114">
        <f t="shared" si="9"/>
        <v>6.2024440496366635</v>
      </c>
    </row>
    <row r="52" spans="1:15" x14ac:dyDescent="0.2">
      <c r="A52" s="1">
        <v>46</v>
      </c>
      <c r="B52" s="1">
        <f t="shared" si="10"/>
        <v>8.1266666666666668E-2</v>
      </c>
      <c r="C52" s="9">
        <f t="shared" si="11"/>
        <v>2.0859398475701375E-3</v>
      </c>
      <c r="D52" s="9">
        <f t="shared" si="12"/>
        <v>0.20850899736844508</v>
      </c>
      <c r="E52" s="112">
        <f t="shared" si="7"/>
        <v>9.5919122207753329</v>
      </c>
      <c r="F52" s="11">
        <f t="shared" si="13"/>
        <v>3.0786461605703834E-3</v>
      </c>
      <c r="G52" s="11">
        <f t="shared" si="14"/>
        <v>0.26906408246146007</v>
      </c>
      <c r="H52" s="113">
        <f t="shared" si="8"/>
        <v>7.4331734719236406</v>
      </c>
      <c r="I52" s="10">
        <f t="shared" si="15"/>
        <v>4.0713524735706301E-3</v>
      </c>
      <c r="J52" s="10">
        <f t="shared" si="16"/>
        <v>0.32961916755447512</v>
      </c>
      <c r="K52" s="114">
        <f t="shared" si="9"/>
        <v>6.06760830942717</v>
      </c>
      <c r="N52" s="1"/>
      <c r="O52" s="1"/>
    </row>
    <row r="53" spans="1:15" x14ac:dyDescent="0.2">
      <c r="A53" s="1">
        <v>47</v>
      </c>
      <c r="B53" s="1">
        <f t="shared" si="10"/>
        <v>8.3033333333333334E-2</v>
      </c>
      <c r="C53" s="9">
        <f t="shared" si="11"/>
        <v>2.1312863659955755E-3</v>
      </c>
      <c r="D53" s="9">
        <f t="shared" si="12"/>
        <v>0.21304180165906345</v>
      </c>
      <c r="E53" s="112">
        <f t="shared" si="7"/>
        <v>9.3878289820354315</v>
      </c>
      <c r="F53" s="11">
        <f t="shared" si="13"/>
        <v>3.1455732510175657E-3</v>
      </c>
      <c r="G53" s="11">
        <f t="shared" si="14"/>
        <v>0.27491330164540484</v>
      </c>
      <c r="H53" s="113">
        <f t="shared" si="8"/>
        <v>7.2750208448614364</v>
      </c>
      <c r="I53" s="10">
        <f t="shared" si="15"/>
        <v>4.1598601360395568E-3</v>
      </c>
      <c r="J53" s="10">
        <f t="shared" si="16"/>
        <v>0.33678480163174629</v>
      </c>
      <c r="K53" s="114">
        <f t="shared" si="9"/>
        <v>5.9385102602904229</v>
      </c>
    </row>
    <row r="54" spans="1:15" x14ac:dyDescent="0.2">
      <c r="A54" s="1">
        <v>48</v>
      </c>
      <c r="B54" s="1">
        <f t="shared" si="10"/>
        <v>8.48E-2</v>
      </c>
      <c r="C54" s="9">
        <f t="shared" si="11"/>
        <v>2.1766328844210134E-3</v>
      </c>
      <c r="D54" s="9">
        <f t="shared" si="12"/>
        <v>0.21757460594968181</v>
      </c>
      <c r="E54" s="112">
        <f t="shared" si="7"/>
        <v>9.1922492115763603</v>
      </c>
      <c r="F54" s="11">
        <f t="shared" si="13"/>
        <v>3.212500341464748E-3</v>
      </c>
      <c r="G54" s="11">
        <f t="shared" si="14"/>
        <v>0.2807625208293496</v>
      </c>
      <c r="H54" s="113">
        <f t="shared" si="8"/>
        <v>7.1234579105934905</v>
      </c>
      <c r="I54" s="10">
        <f t="shared" si="15"/>
        <v>4.2483677985084836E-3</v>
      </c>
      <c r="J54" s="10">
        <f t="shared" si="16"/>
        <v>0.34395043570901751</v>
      </c>
      <c r="K54" s="114">
        <f t="shared" si="9"/>
        <v>5.8147912965343718</v>
      </c>
    </row>
    <row r="55" spans="1:15" x14ac:dyDescent="0.2">
      <c r="A55" s="1">
        <v>49</v>
      </c>
      <c r="B55" s="1">
        <f t="shared" si="10"/>
        <v>8.6566666666666667E-2</v>
      </c>
      <c r="C55" s="9">
        <f t="shared" si="11"/>
        <v>2.2219794028464509E-3</v>
      </c>
      <c r="D55" s="9">
        <f t="shared" si="12"/>
        <v>0.22210741024030017</v>
      </c>
      <c r="E55" s="112">
        <f t="shared" si="7"/>
        <v>9.0046522888911298</v>
      </c>
      <c r="F55" s="11">
        <f t="shared" si="13"/>
        <v>3.2794274319119304E-3</v>
      </c>
      <c r="G55" s="11">
        <f t="shared" si="14"/>
        <v>0.28661174001329442</v>
      </c>
      <c r="H55" s="113">
        <f t="shared" si="8"/>
        <v>6.9780812185405612</v>
      </c>
      <c r="I55" s="10">
        <f t="shared" si="15"/>
        <v>4.3368754609774103E-3</v>
      </c>
      <c r="J55" s="10">
        <f t="shared" si="16"/>
        <v>0.35111606978628873</v>
      </c>
      <c r="K55" s="114">
        <f t="shared" si="9"/>
        <v>5.6961220864010169</v>
      </c>
    </row>
    <row r="56" spans="1:15" x14ac:dyDescent="0.2">
      <c r="A56" s="25">
        <v>50.5</v>
      </c>
      <c r="B56" s="1">
        <f t="shared" si="10"/>
        <v>8.9216666666666666E-2</v>
      </c>
      <c r="C56" s="9">
        <f t="shared" si="11"/>
        <v>2.2899991804846073E-3</v>
      </c>
      <c r="D56" s="9">
        <f t="shared" si="12"/>
        <v>0.22890661667622772</v>
      </c>
      <c r="E56" s="112">
        <f t="shared" si="7"/>
        <v>8.7371873694191162</v>
      </c>
      <c r="F56" s="11">
        <f t="shared" si="13"/>
        <v>3.3798180675827035E-3</v>
      </c>
      <c r="G56" s="11">
        <f t="shared" si="14"/>
        <v>0.29538556878921157</v>
      </c>
      <c r="H56" s="117">
        <f t="shared" si="8"/>
        <v>6.7708114793759906</v>
      </c>
      <c r="I56" s="10">
        <f t="shared" si="15"/>
        <v>4.4696369546808005E-3</v>
      </c>
      <c r="J56" s="10">
        <f t="shared" si="16"/>
        <v>0.36186452090219551</v>
      </c>
      <c r="K56" s="114">
        <f t="shared" si="9"/>
        <v>5.5269303412603925</v>
      </c>
    </row>
    <row r="57" spans="1:15" x14ac:dyDescent="0.2">
      <c r="A57" s="1">
        <v>51</v>
      </c>
      <c r="B57" s="1">
        <f t="shared" si="10"/>
        <v>9.01E-2</v>
      </c>
      <c r="C57" s="9">
        <f t="shared" si="11"/>
        <v>2.3126724396973267E-3</v>
      </c>
      <c r="D57" s="9">
        <f t="shared" si="12"/>
        <v>0.2311730188215369</v>
      </c>
      <c r="E57" s="112">
        <f t="shared" si="7"/>
        <v>8.6515286697189282</v>
      </c>
      <c r="F57" s="11">
        <f t="shared" si="13"/>
        <v>3.4132816128062951E-3</v>
      </c>
      <c r="G57" s="11">
        <f t="shared" si="14"/>
        <v>0.29831017838118401</v>
      </c>
      <c r="H57" s="113">
        <f t="shared" si="8"/>
        <v>6.7044309746762245</v>
      </c>
      <c r="I57" s="10">
        <f t="shared" si="15"/>
        <v>4.5138907859152639E-3</v>
      </c>
      <c r="J57" s="10">
        <f t="shared" si="16"/>
        <v>0.36544733794083112</v>
      </c>
      <c r="K57" s="114">
        <f t="shared" si="9"/>
        <v>5.4727447496794088</v>
      </c>
    </row>
    <row r="58" spans="1:15" x14ac:dyDescent="0.2">
      <c r="A58" s="1">
        <v>52</v>
      </c>
      <c r="B58" s="1">
        <f t="shared" si="10"/>
        <v>9.1866666666666666E-2</v>
      </c>
      <c r="C58" s="9">
        <f t="shared" si="11"/>
        <v>2.3580189581227642E-3</v>
      </c>
      <c r="D58" s="9">
        <f t="shared" si="12"/>
        <v>0.23570582311215527</v>
      </c>
      <c r="E58" s="112">
        <f t="shared" si="7"/>
        <v>8.4851531183781805</v>
      </c>
      <c r="F58" s="11">
        <f t="shared" si="13"/>
        <v>3.480208703253477E-3</v>
      </c>
      <c r="G58" s="11">
        <f t="shared" si="14"/>
        <v>0.30415939756512878</v>
      </c>
      <c r="H58" s="113">
        <f t="shared" si="8"/>
        <v>6.5754996097786051</v>
      </c>
      <c r="I58" s="10">
        <f t="shared" si="15"/>
        <v>4.6023984483841898E-3</v>
      </c>
      <c r="J58" s="10">
        <f t="shared" si="16"/>
        <v>0.37261297201810223</v>
      </c>
      <c r="K58" s="114">
        <f t="shared" si="9"/>
        <v>5.3674996583394208</v>
      </c>
    </row>
    <row r="59" spans="1:15" x14ac:dyDescent="0.2">
      <c r="A59" s="1">
        <v>53</v>
      </c>
      <c r="B59" s="1">
        <f t="shared" si="10"/>
        <v>9.3633333333333332E-2</v>
      </c>
      <c r="C59" s="9">
        <f t="shared" si="11"/>
        <v>2.4033654765482017E-3</v>
      </c>
      <c r="D59" s="9">
        <f t="shared" si="12"/>
        <v>0.24023862740277363</v>
      </c>
      <c r="E59" s="112">
        <f t="shared" si="7"/>
        <v>8.3250558897295353</v>
      </c>
      <c r="F59" s="11">
        <f t="shared" si="13"/>
        <v>3.5471357937006593E-3</v>
      </c>
      <c r="G59" s="11">
        <f t="shared" si="14"/>
        <v>0.31000861674907354</v>
      </c>
      <c r="H59" s="113">
        <f t="shared" si="8"/>
        <v>6.4514335794054247</v>
      </c>
      <c r="I59" s="10">
        <f t="shared" si="15"/>
        <v>4.6909061108531165E-3</v>
      </c>
      <c r="J59" s="10">
        <f t="shared" si="16"/>
        <v>0.37977860609537345</v>
      </c>
      <c r="K59" s="114">
        <f t="shared" si="9"/>
        <v>5.2662260798801865</v>
      </c>
    </row>
    <row r="60" spans="1:15" x14ac:dyDescent="0.2">
      <c r="A60" s="1">
        <v>54</v>
      </c>
      <c r="B60" s="1">
        <f t="shared" si="10"/>
        <v>9.5399999999999999E-2</v>
      </c>
      <c r="C60" s="9">
        <f t="shared" si="11"/>
        <v>2.4487119949736396E-3</v>
      </c>
      <c r="D60" s="9">
        <f t="shared" si="12"/>
        <v>0.24477143169339199</v>
      </c>
      <c r="E60" s="112">
        <f t="shared" si="7"/>
        <v>8.1708881880678774</v>
      </c>
      <c r="F60" s="11">
        <f t="shared" si="13"/>
        <v>3.6140628841478417E-3</v>
      </c>
      <c r="G60" s="11">
        <f t="shared" si="14"/>
        <v>0.31585783593301836</v>
      </c>
      <c r="H60" s="113">
        <f t="shared" si="8"/>
        <v>6.3319625871942122</v>
      </c>
      <c r="I60" s="10">
        <f t="shared" si="15"/>
        <v>4.7794137733220433E-3</v>
      </c>
      <c r="J60" s="10">
        <f t="shared" si="16"/>
        <v>0.38694424017264462</v>
      </c>
      <c r="K60" s="114">
        <f t="shared" si="9"/>
        <v>5.1687033746972206</v>
      </c>
    </row>
    <row r="61" spans="1:15" x14ac:dyDescent="0.2">
      <c r="A61" s="1">
        <v>55</v>
      </c>
      <c r="B61" s="1">
        <f t="shared" si="10"/>
        <v>9.7166666666666665E-2</v>
      </c>
      <c r="C61" s="9">
        <f t="shared" si="11"/>
        <v>2.4940585133990775E-3</v>
      </c>
      <c r="D61" s="9">
        <f t="shared" si="12"/>
        <v>0.24930423598401041</v>
      </c>
      <c r="E61" s="112">
        <f t="shared" si="7"/>
        <v>8.0223265846484608</v>
      </c>
      <c r="F61" s="11">
        <f t="shared" si="13"/>
        <v>3.6809899745950236E-3</v>
      </c>
      <c r="G61" s="11">
        <f t="shared" si="14"/>
        <v>0.32170705511696313</v>
      </c>
      <c r="H61" s="113">
        <f t="shared" si="8"/>
        <v>6.2168359946997729</v>
      </c>
      <c r="I61" s="10">
        <f t="shared" si="15"/>
        <v>4.86792143579097E-3</v>
      </c>
      <c r="J61" s="10">
        <f t="shared" si="16"/>
        <v>0.39410987424991584</v>
      </c>
      <c r="K61" s="114">
        <f t="shared" si="9"/>
        <v>5.0747269497027254</v>
      </c>
    </row>
    <row r="62" spans="1:15" x14ac:dyDescent="0.2">
      <c r="A62" s="1">
        <v>56</v>
      </c>
      <c r="B62" s="1">
        <f t="shared" si="10"/>
        <v>9.8933333333333331E-2</v>
      </c>
      <c r="C62" s="9">
        <f t="shared" si="11"/>
        <v>2.5394050318245155E-3</v>
      </c>
      <c r="D62" s="9">
        <f t="shared" si="12"/>
        <v>0.25383704027462878</v>
      </c>
      <c r="E62" s="112">
        <f t="shared" si="7"/>
        <v>7.8790707527797377</v>
      </c>
      <c r="F62" s="11">
        <f t="shared" si="13"/>
        <v>3.7479170650422059E-3</v>
      </c>
      <c r="G62" s="11">
        <f t="shared" si="14"/>
        <v>0.32755627430090789</v>
      </c>
      <c r="H62" s="113">
        <f t="shared" si="8"/>
        <v>6.1058210662229913</v>
      </c>
      <c r="I62" s="10">
        <f t="shared" si="15"/>
        <v>4.9564290982598977E-3</v>
      </c>
      <c r="J62" s="10">
        <f t="shared" si="16"/>
        <v>0.40127550832718706</v>
      </c>
      <c r="K62" s="114">
        <f t="shared" si="9"/>
        <v>4.9841068256008905</v>
      </c>
    </row>
    <row r="63" spans="1:15" x14ac:dyDescent="0.2">
      <c r="A63" s="1">
        <v>57</v>
      </c>
      <c r="B63" s="1">
        <f t="shared" si="10"/>
        <v>0.1007</v>
      </c>
      <c r="C63" s="9">
        <f t="shared" si="11"/>
        <v>2.584751550249953E-3</v>
      </c>
      <c r="D63" s="9">
        <f t="shared" si="12"/>
        <v>0.25836984456524714</v>
      </c>
      <c r="E63" s="112">
        <f t="shared" si="7"/>
        <v>7.7408414413274622</v>
      </c>
      <c r="F63" s="11">
        <f t="shared" si="13"/>
        <v>3.8148441554893883E-3</v>
      </c>
      <c r="G63" s="11">
        <f t="shared" si="14"/>
        <v>0.33340549348485266</v>
      </c>
      <c r="H63" s="113">
        <f t="shared" si="8"/>
        <v>5.9987013983945179</v>
      </c>
      <c r="I63" s="10">
        <f t="shared" si="15"/>
        <v>5.0449367607288244E-3</v>
      </c>
      <c r="J63" s="10">
        <f t="shared" si="16"/>
        <v>0.40844114240445828</v>
      </c>
      <c r="K63" s="114">
        <f t="shared" si="9"/>
        <v>4.896666354976313</v>
      </c>
    </row>
    <row r="64" spans="1:15" x14ac:dyDescent="0.2">
      <c r="A64" s="1">
        <v>58</v>
      </c>
      <c r="B64" s="1">
        <f t="shared" si="10"/>
        <v>0.10246666666666666</v>
      </c>
      <c r="C64" s="9">
        <f t="shared" si="11"/>
        <v>2.6300980686753909E-3</v>
      </c>
      <c r="D64" s="9">
        <f t="shared" si="12"/>
        <v>0.26290264885586551</v>
      </c>
      <c r="E64" s="112">
        <f t="shared" si="7"/>
        <v>7.607378657856299</v>
      </c>
      <c r="F64" s="11">
        <f t="shared" si="13"/>
        <v>3.8817712459365706E-3</v>
      </c>
      <c r="G64" s="11">
        <f t="shared" si="14"/>
        <v>0.33925471266879748</v>
      </c>
      <c r="H64" s="113">
        <f t="shared" si="8"/>
        <v>5.895275512215302</v>
      </c>
      <c r="I64" s="10">
        <f t="shared" si="15"/>
        <v>5.1334444231977512E-3</v>
      </c>
      <c r="J64" s="10">
        <f t="shared" si="16"/>
        <v>0.41560677648172945</v>
      </c>
      <c r="K64" s="114">
        <f t="shared" si="9"/>
        <v>4.8122410729939631</v>
      </c>
    </row>
    <row r="65" spans="1:11" x14ac:dyDescent="0.2">
      <c r="A65" s="1">
        <v>59</v>
      </c>
      <c r="B65" s="1">
        <f t="shared" si="10"/>
        <v>0.10423333333333333</v>
      </c>
      <c r="C65" s="9">
        <f t="shared" si="11"/>
        <v>2.6754445871008284E-3</v>
      </c>
      <c r="D65" s="9">
        <f t="shared" si="12"/>
        <v>0.26743545314648387</v>
      </c>
      <c r="E65" s="112">
        <f t="shared" si="7"/>
        <v>7.4784400365367008</v>
      </c>
      <c r="F65" s="11">
        <f t="shared" si="13"/>
        <v>3.9486983363837529E-3</v>
      </c>
      <c r="G65" s="11">
        <f t="shared" si="14"/>
        <v>0.34510393185274224</v>
      </c>
      <c r="H65" s="113">
        <f t="shared" si="8"/>
        <v>5.795355588279449</v>
      </c>
      <c r="I65" s="10">
        <f t="shared" si="15"/>
        <v>5.2219520856666771E-3</v>
      </c>
      <c r="J65" s="10">
        <f t="shared" si="16"/>
        <v>0.42277241055900067</v>
      </c>
      <c r="K65" s="114">
        <f t="shared" si="9"/>
        <v>4.7306776649771161</v>
      </c>
    </row>
    <row r="66" spans="1:11" x14ac:dyDescent="0.2">
      <c r="A66" s="1">
        <v>60</v>
      </c>
      <c r="B66" s="1">
        <f t="shared" si="10"/>
        <v>0.106</v>
      </c>
      <c r="C66" s="9">
        <f t="shared" si="11"/>
        <v>2.7207911055262667E-3</v>
      </c>
      <c r="D66" s="9">
        <f t="shared" si="12"/>
        <v>0.27196825743710229</v>
      </c>
      <c r="E66" s="112">
        <f t="shared" si="7"/>
        <v>7.3537993692610879</v>
      </c>
      <c r="F66" s="11">
        <f t="shared" si="13"/>
        <v>4.0156254268309353E-3</v>
      </c>
      <c r="G66" s="11">
        <f t="shared" si="14"/>
        <v>0.35095315103668706</v>
      </c>
      <c r="H66" s="113">
        <f t="shared" si="8"/>
        <v>5.6987663284747914</v>
      </c>
      <c r="I66" s="10">
        <f t="shared" si="15"/>
        <v>5.3104597481356047E-3</v>
      </c>
      <c r="J66" s="10">
        <f t="shared" si="16"/>
        <v>0.42993804463627189</v>
      </c>
      <c r="K66" s="114">
        <f t="shared" si="9"/>
        <v>4.6518330372274974</v>
      </c>
    </row>
    <row r="67" spans="1:11" x14ac:dyDescent="0.2">
      <c r="A67" s="1">
        <v>61</v>
      </c>
      <c r="B67" s="1">
        <f t="shared" si="10"/>
        <v>0.10776666666666666</v>
      </c>
      <c r="C67" s="9">
        <f t="shared" si="11"/>
        <v>2.7661376239517042E-3</v>
      </c>
      <c r="D67" s="9">
        <f t="shared" si="12"/>
        <v>0.2765010617277206</v>
      </c>
      <c r="E67" s="112">
        <f t="shared" si="7"/>
        <v>7.233245281240416</v>
      </c>
      <c r="F67" s="11">
        <f t="shared" si="13"/>
        <v>4.0825525172781168E-3</v>
      </c>
      <c r="G67" s="11">
        <f t="shared" si="14"/>
        <v>0.35680237022063177</v>
      </c>
      <c r="H67" s="113">
        <f t="shared" si="8"/>
        <v>5.6053439296473364</v>
      </c>
      <c r="I67" s="10">
        <f t="shared" si="15"/>
        <v>5.3989674106045306E-3</v>
      </c>
      <c r="J67" s="10">
        <f t="shared" si="16"/>
        <v>0.43710367871354305</v>
      </c>
      <c r="K67" s="114">
        <f t="shared" si="9"/>
        <v>4.5755734792401617</v>
      </c>
    </row>
    <row r="68" spans="1:11" x14ac:dyDescent="0.2">
      <c r="A68" s="1">
        <v>62</v>
      </c>
      <c r="B68" s="1">
        <f t="shared" si="10"/>
        <v>0.10953333333333333</v>
      </c>
      <c r="C68" s="9">
        <f t="shared" si="11"/>
        <v>2.8114841423771421E-3</v>
      </c>
      <c r="D68" s="9">
        <f t="shared" si="12"/>
        <v>0.28103386601833902</v>
      </c>
      <c r="E68" s="112">
        <f t="shared" si="7"/>
        <v>7.1165800347687949</v>
      </c>
      <c r="F68" s="11">
        <f t="shared" si="13"/>
        <v>4.1494796077253E-3</v>
      </c>
      <c r="G68" s="11">
        <f t="shared" si="14"/>
        <v>0.36265158940457659</v>
      </c>
      <c r="H68" s="113">
        <f t="shared" si="8"/>
        <v>5.5149351565885079</v>
      </c>
      <c r="I68" s="10">
        <f t="shared" si="15"/>
        <v>5.4874750730734582E-3</v>
      </c>
      <c r="J68" s="10">
        <f t="shared" si="16"/>
        <v>0.44426931279081427</v>
      </c>
      <c r="K68" s="114">
        <f t="shared" si="9"/>
        <v>4.5017739069943525</v>
      </c>
    </row>
    <row r="69" spans="1:11" x14ac:dyDescent="0.2">
      <c r="A69" s="1">
        <v>63</v>
      </c>
      <c r="B69" s="1">
        <f t="shared" si="10"/>
        <v>0.1113</v>
      </c>
      <c r="C69" s="9">
        <f t="shared" si="11"/>
        <v>2.8568306608025796E-3</v>
      </c>
      <c r="D69" s="9">
        <f t="shared" si="12"/>
        <v>0.28556667030895733</v>
      </c>
      <c r="E69" s="112">
        <f t="shared" si="7"/>
        <v>7.0036184469153238</v>
      </c>
      <c r="F69" s="11">
        <f t="shared" si="13"/>
        <v>4.2164066981724814E-3</v>
      </c>
      <c r="G69" s="11">
        <f t="shared" si="14"/>
        <v>0.36850080858852136</v>
      </c>
      <c r="H69" s="113">
        <f t="shared" si="8"/>
        <v>5.4273965033093257</v>
      </c>
      <c r="I69" s="10">
        <f t="shared" si="15"/>
        <v>5.5759827355423841E-3</v>
      </c>
      <c r="J69" s="10">
        <f t="shared" si="16"/>
        <v>0.45143494686808544</v>
      </c>
      <c r="K69" s="114">
        <f t="shared" si="9"/>
        <v>4.4303171783119026</v>
      </c>
    </row>
    <row r="70" spans="1:11" x14ac:dyDescent="0.2">
      <c r="A70" s="1">
        <v>64</v>
      </c>
      <c r="B70" s="1">
        <f t="shared" si="10"/>
        <v>0.11306666666666666</v>
      </c>
      <c r="C70" s="9">
        <f t="shared" si="11"/>
        <v>2.9021771792280176E-3</v>
      </c>
      <c r="D70" s="9">
        <f t="shared" si="12"/>
        <v>0.29009947459957575</v>
      </c>
      <c r="E70" s="112">
        <f t="shared" si="7"/>
        <v>6.8941869086822702</v>
      </c>
      <c r="F70" s="11">
        <f t="shared" si="13"/>
        <v>4.2833337886196646E-3</v>
      </c>
      <c r="G70" s="11">
        <f t="shared" si="14"/>
        <v>0.37435002777246618</v>
      </c>
      <c r="H70" s="113">
        <f t="shared" si="8"/>
        <v>5.342593432945117</v>
      </c>
      <c r="I70" s="10">
        <f t="shared" si="15"/>
        <v>5.6644903980113117E-3</v>
      </c>
      <c r="J70" s="10">
        <f t="shared" si="16"/>
        <v>0.45860058094535666</v>
      </c>
      <c r="K70" s="114">
        <f t="shared" si="9"/>
        <v>4.3610934724007793</v>
      </c>
    </row>
    <row r="71" spans="1:11" x14ac:dyDescent="0.2">
      <c r="A71" s="1">
        <v>65</v>
      </c>
      <c r="B71" s="1">
        <f t="shared" si="10"/>
        <v>0.11483333333333333</v>
      </c>
      <c r="C71" s="9">
        <f t="shared" si="11"/>
        <v>2.9475236976534555E-3</v>
      </c>
      <c r="D71" s="9">
        <f t="shared" si="12"/>
        <v>0.29463227889019411</v>
      </c>
      <c r="E71" s="112">
        <f t="shared" si="7"/>
        <v>6.7881224947025434</v>
      </c>
      <c r="F71" s="11">
        <f t="shared" si="13"/>
        <v>4.3502608790668461E-3</v>
      </c>
      <c r="G71" s="11">
        <f t="shared" si="14"/>
        <v>0.38019924695641094</v>
      </c>
      <c r="H71" s="113">
        <f t="shared" si="8"/>
        <v>5.2603996878228845</v>
      </c>
      <c r="I71" s="10">
        <f t="shared" si="15"/>
        <v>5.7529980604802376E-3</v>
      </c>
      <c r="J71" s="10">
        <f t="shared" si="16"/>
        <v>0.46576621502262783</v>
      </c>
      <c r="K71" s="114">
        <f t="shared" si="9"/>
        <v>4.2939997266715366</v>
      </c>
    </row>
    <row r="72" spans="1:11" x14ac:dyDescent="0.2">
      <c r="A72" s="1">
        <v>66</v>
      </c>
      <c r="B72" s="1">
        <f t="shared" si="10"/>
        <v>0.1166</v>
      </c>
      <c r="C72" s="9">
        <f t="shared" si="11"/>
        <v>2.992870216078893E-3</v>
      </c>
      <c r="D72" s="9">
        <f t="shared" si="12"/>
        <v>0.29916508318081247</v>
      </c>
      <c r="E72" s="112">
        <f t="shared" si="7"/>
        <v>6.6852721538737176</v>
      </c>
      <c r="F72" s="11">
        <f t="shared" si="13"/>
        <v>4.4171879695140285E-3</v>
      </c>
      <c r="G72" s="11">
        <f t="shared" si="14"/>
        <v>0.38604846614035571</v>
      </c>
      <c r="H72" s="113">
        <f t="shared" si="8"/>
        <v>5.1806966622498107</v>
      </c>
      <c r="I72" s="10">
        <f t="shared" si="15"/>
        <v>5.8415057229491644E-3</v>
      </c>
      <c r="J72" s="10">
        <f t="shared" si="16"/>
        <v>0.47293184909989899</v>
      </c>
      <c r="K72" s="114">
        <f t="shared" si="9"/>
        <v>4.2289391247522712</v>
      </c>
    </row>
    <row r="73" spans="1:11" x14ac:dyDescent="0.2">
      <c r="A73" s="25">
        <v>67.5</v>
      </c>
      <c r="B73" s="1">
        <f t="shared" si="10"/>
        <v>0.11924999999999999</v>
      </c>
      <c r="C73" s="9">
        <f t="shared" si="11"/>
        <v>3.0608899937170498E-3</v>
      </c>
      <c r="D73" s="9">
        <f t="shared" si="12"/>
        <v>0.30596428961674005</v>
      </c>
      <c r="E73" s="112">
        <f t="shared" si="7"/>
        <v>6.536710550454301</v>
      </c>
      <c r="F73" s="11">
        <f t="shared" si="13"/>
        <v>4.517578605184802E-3</v>
      </c>
      <c r="G73" s="11">
        <f t="shared" si="14"/>
        <v>0.39482229491627296</v>
      </c>
      <c r="H73" s="117">
        <f t="shared" si="8"/>
        <v>5.0655700697553696</v>
      </c>
      <c r="I73" s="10">
        <f t="shared" si="15"/>
        <v>5.9742672166525554E-3</v>
      </c>
      <c r="J73" s="10">
        <f t="shared" si="16"/>
        <v>0.48368030021580588</v>
      </c>
      <c r="K73" s="118">
        <f t="shared" si="9"/>
        <v>4.1349626997577751</v>
      </c>
    </row>
    <row r="74" spans="1:11" x14ac:dyDescent="0.2">
      <c r="A74" s="1">
        <v>68</v>
      </c>
      <c r="B74" s="1">
        <f t="shared" si="10"/>
        <v>0.12013333333333333</v>
      </c>
      <c r="C74" s="9">
        <f t="shared" si="11"/>
        <v>3.0835632529297684E-3</v>
      </c>
      <c r="D74" s="9">
        <f t="shared" si="12"/>
        <v>0.3082306917620492</v>
      </c>
      <c r="E74" s="112">
        <f t="shared" si="7"/>
        <v>6.4886465022891961</v>
      </c>
      <c r="F74" s="11">
        <f t="shared" si="13"/>
        <v>4.5510421504083931E-3</v>
      </c>
      <c r="G74" s="11">
        <f t="shared" si="14"/>
        <v>0.39774690450824529</v>
      </c>
      <c r="H74" s="113">
        <f t="shared" si="8"/>
        <v>5.0283232310071693</v>
      </c>
      <c r="I74" s="10">
        <f t="shared" si="15"/>
        <v>6.0185210478870179E-3</v>
      </c>
      <c r="J74" s="10">
        <f t="shared" si="16"/>
        <v>0.48726311725444138</v>
      </c>
      <c r="K74" s="114">
        <f t="shared" si="9"/>
        <v>4.1045585622595571</v>
      </c>
    </row>
    <row r="75" spans="1:11" x14ac:dyDescent="0.2">
      <c r="A75" s="1">
        <v>69</v>
      </c>
      <c r="B75" s="1">
        <f t="shared" si="10"/>
        <v>0.12189999999999999</v>
      </c>
      <c r="C75" s="9">
        <f t="shared" si="11"/>
        <v>3.1289097713552063E-3</v>
      </c>
      <c r="D75" s="9">
        <f t="shared" si="12"/>
        <v>0.31276349605266757</v>
      </c>
      <c r="E75" s="112">
        <f t="shared" si="7"/>
        <v>6.3946081471835559</v>
      </c>
      <c r="F75" s="11">
        <f t="shared" si="13"/>
        <v>4.6179692408555755E-3</v>
      </c>
      <c r="G75" s="11">
        <f t="shared" si="14"/>
        <v>0.40359612369219011</v>
      </c>
      <c r="H75" s="113">
        <f t="shared" si="8"/>
        <v>4.9554489812824274</v>
      </c>
      <c r="I75" s="10">
        <f t="shared" si="15"/>
        <v>6.1070287103559447E-3</v>
      </c>
      <c r="J75" s="10">
        <f t="shared" si="16"/>
        <v>0.49442875133171266</v>
      </c>
      <c r="K75" s="114">
        <f t="shared" si="9"/>
        <v>4.0450722062847806</v>
      </c>
    </row>
    <row r="76" spans="1:11" x14ac:dyDescent="0.2">
      <c r="A76" s="1">
        <v>70</v>
      </c>
      <c r="B76" s="1">
        <f t="shared" si="10"/>
        <v>0.12366666666666666</v>
      </c>
      <c r="C76" s="9">
        <f t="shared" si="11"/>
        <v>3.1742562897806438E-3</v>
      </c>
      <c r="D76" s="9">
        <f t="shared" si="12"/>
        <v>0.31729630034328593</v>
      </c>
      <c r="E76" s="112">
        <f t="shared" si="7"/>
        <v>6.303256602223791</v>
      </c>
      <c r="F76" s="11">
        <f t="shared" si="13"/>
        <v>4.684896331302757E-3</v>
      </c>
      <c r="G76" s="11">
        <f t="shared" si="14"/>
        <v>0.40944534287613482</v>
      </c>
      <c r="H76" s="113">
        <f t="shared" si="8"/>
        <v>4.8846568529783934</v>
      </c>
      <c r="I76" s="10">
        <f t="shared" si="15"/>
        <v>6.1955363728248714E-3</v>
      </c>
      <c r="J76" s="10">
        <f t="shared" si="16"/>
        <v>0.50159438540898382</v>
      </c>
      <c r="K76" s="114">
        <f t="shared" si="9"/>
        <v>3.9872854604807126</v>
      </c>
    </row>
    <row r="77" spans="1:11" x14ac:dyDescent="0.2">
      <c r="A77" s="1">
        <v>71</v>
      </c>
      <c r="B77" s="1">
        <f t="shared" si="10"/>
        <v>0.12543333333333334</v>
      </c>
      <c r="C77" s="9">
        <f t="shared" si="11"/>
        <v>3.2196028082060821E-3</v>
      </c>
      <c r="D77" s="9">
        <f t="shared" si="12"/>
        <v>0.32182910463390435</v>
      </c>
      <c r="E77" s="112">
        <f t="shared" si="7"/>
        <v>6.2144783402206381</v>
      </c>
      <c r="F77" s="11">
        <f t="shared" si="13"/>
        <v>4.7518234217499402E-3</v>
      </c>
      <c r="G77" s="11">
        <f t="shared" si="14"/>
        <v>0.4152945620600797</v>
      </c>
      <c r="H77" s="113">
        <f t="shared" si="8"/>
        <v>4.8158588691336259</v>
      </c>
      <c r="I77" s="10">
        <f t="shared" si="15"/>
        <v>6.284044035293799E-3</v>
      </c>
      <c r="J77" s="10">
        <f t="shared" si="16"/>
        <v>0.50876001948625516</v>
      </c>
      <c r="K77" s="114">
        <f t="shared" si="9"/>
        <v>3.9311265103330957</v>
      </c>
    </row>
    <row r="78" spans="1:11" x14ac:dyDescent="0.2">
      <c r="A78" s="1">
        <v>72</v>
      </c>
      <c r="B78" s="1">
        <f t="shared" si="10"/>
        <v>0.12720000000000001</v>
      </c>
      <c r="C78" s="9">
        <f t="shared" si="11"/>
        <v>3.2649493266315196E-3</v>
      </c>
      <c r="D78" s="9">
        <f t="shared" si="12"/>
        <v>0.32636190892452271</v>
      </c>
      <c r="E78" s="112">
        <f t="shared" si="7"/>
        <v>6.1281661410509072</v>
      </c>
      <c r="F78" s="11">
        <f t="shared" si="13"/>
        <v>4.8187505121971216E-3</v>
      </c>
      <c r="G78" s="11">
        <f t="shared" si="14"/>
        <v>0.42114378124402441</v>
      </c>
      <c r="H78" s="113">
        <f t="shared" si="8"/>
        <v>4.7489719403956601</v>
      </c>
      <c r="I78" s="10">
        <f t="shared" si="15"/>
        <v>6.3725516977627249E-3</v>
      </c>
      <c r="J78" s="10">
        <f t="shared" si="16"/>
        <v>0.51592565356352627</v>
      </c>
      <c r="K78" s="114">
        <f t="shared" si="9"/>
        <v>3.8765275310229144</v>
      </c>
    </row>
  </sheetData>
  <dataValidations disablePrompts="1" count="1">
    <dataValidation type="list" allowBlank="1" showInputMessage="1" showErrorMessage="1" sqref="C9" xr:uid="{5E9D7680-76BA-6F4B-BCD2-74F04226987D}">
      <formula1>"Male,Female"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292D1-946F-374D-9BD5-E6E78BE12EF4}">
  <dimension ref="A1:J34"/>
  <sheetViews>
    <sheetView zoomScale="120" zoomScaleNormal="120" workbookViewId="0">
      <selection activeCell="H1" sqref="H1"/>
    </sheetView>
  </sheetViews>
  <sheetFormatPr baseColWidth="10" defaultRowHeight="16" x14ac:dyDescent="0.2"/>
  <sheetData>
    <row r="1" spans="1:10" x14ac:dyDescent="0.2">
      <c r="A1" s="16" t="s">
        <v>45</v>
      </c>
      <c r="F1" t="s">
        <v>56</v>
      </c>
    </row>
    <row r="2" spans="1:10" x14ac:dyDescent="0.2">
      <c r="J2" s="28"/>
    </row>
    <row r="3" spans="1:10" x14ac:dyDescent="0.2">
      <c r="A3" s="24" t="s">
        <v>34</v>
      </c>
      <c r="B3" s="40"/>
      <c r="C3" s="34">
        <v>163</v>
      </c>
      <c r="D3" s="29" t="s">
        <v>0</v>
      </c>
      <c r="E3" s="29"/>
      <c r="F3" s="34" t="s">
        <v>35</v>
      </c>
      <c r="G3" s="34">
        <f>Prescription!D6</f>
        <v>163</v>
      </c>
      <c r="H3" s="29" t="s">
        <v>0</v>
      </c>
      <c r="I3" s="3"/>
      <c r="J3" s="28"/>
    </row>
    <row r="4" spans="1:10" x14ac:dyDescent="0.2">
      <c r="A4" s="4"/>
      <c r="C4" s="1">
        <v>60</v>
      </c>
      <c r="D4" t="s">
        <v>1</v>
      </c>
      <c r="G4" s="1">
        <f>Prescription!D7</f>
        <v>60</v>
      </c>
      <c r="H4" t="s">
        <v>1</v>
      </c>
      <c r="I4" s="5"/>
      <c r="J4" s="28"/>
    </row>
    <row r="5" spans="1:10" x14ac:dyDescent="0.2">
      <c r="A5" s="4"/>
      <c r="I5" s="5"/>
      <c r="J5" s="28"/>
    </row>
    <row r="6" spans="1:10" x14ac:dyDescent="0.2">
      <c r="A6" s="4" t="s">
        <v>47</v>
      </c>
      <c r="I6" s="5"/>
    </row>
    <row r="7" spans="1:10" x14ac:dyDescent="0.2">
      <c r="A7" s="4" t="s">
        <v>103</v>
      </c>
      <c r="E7" s="1">
        <v>80</v>
      </c>
      <c r="F7" s="1" t="s">
        <v>33</v>
      </c>
      <c r="G7" s="1"/>
      <c r="I7" s="5"/>
    </row>
    <row r="8" spans="1:10" x14ac:dyDescent="0.2">
      <c r="A8" s="6" t="s">
        <v>104</v>
      </c>
      <c r="B8" s="30"/>
      <c r="C8" s="30"/>
      <c r="D8" s="30"/>
      <c r="E8" s="35">
        <f>E7*(G3/C3)</f>
        <v>80</v>
      </c>
      <c r="F8" s="36" t="s">
        <v>33</v>
      </c>
      <c r="G8" s="30" t="s">
        <v>36</v>
      </c>
      <c r="H8" s="30"/>
      <c r="I8" s="7"/>
    </row>
    <row r="10" spans="1:10" x14ac:dyDescent="0.2">
      <c r="A10" s="37" t="s">
        <v>48</v>
      </c>
      <c r="B10" s="29"/>
      <c r="C10" s="29"/>
      <c r="D10" s="29"/>
      <c r="E10" s="29"/>
      <c r="F10" s="3"/>
    </row>
    <row r="11" spans="1:10" x14ac:dyDescent="0.2">
      <c r="A11" s="4" t="s">
        <v>28</v>
      </c>
      <c r="E11" s="8">
        <v>80</v>
      </c>
      <c r="F11" s="5" t="s">
        <v>29</v>
      </c>
      <c r="G11" s="20"/>
    </row>
    <row r="12" spans="1:10" x14ac:dyDescent="0.2">
      <c r="A12" s="4" t="s">
        <v>30</v>
      </c>
      <c r="E12" s="39">
        <f>E8*(E11/100)</f>
        <v>64</v>
      </c>
      <c r="F12" s="5" t="s">
        <v>33</v>
      </c>
    </row>
    <row r="13" spans="1:10" x14ac:dyDescent="0.2">
      <c r="A13" s="4" t="s">
        <v>79</v>
      </c>
      <c r="E13" s="8">
        <v>144</v>
      </c>
      <c r="F13" s="5" t="s">
        <v>10</v>
      </c>
      <c r="G13" s="20" t="s">
        <v>38</v>
      </c>
    </row>
    <row r="14" spans="1:10" x14ac:dyDescent="0.2">
      <c r="A14" s="4" t="s">
        <v>50</v>
      </c>
      <c r="E14" s="17">
        <f>LN(2)*E13</f>
        <v>99.813194000632123</v>
      </c>
      <c r="F14" s="5" t="s">
        <v>10</v>
      </c>
    </row>
    <row r="15" spans="1:10" ht="17" x14ac:dyDescent="0.2">
      <c r="A15" s="4" t="s">
        <v>31</v>
      </c>
      <c r="E15" s="1">
        <f>1/E13</f>
        <v>6.9444444444444441E-3</v>
      </c>
      <c r="F15" s="38" t="s">
        <v>32</v>
      </c>
    </row>
    <row r="16" spans="1:10" x14ac:dyDescent="0.2">
      <c r="A16" s="4" t="s">
        <v>49</v>
      </c>
      <c r="E16" s="39">
        <f>E12/(EXP(-E15*48))</f>
        <v>89.319195205509729</v>
      </c>
      <c r="F16" s="5" t="s">
        <v>11</v>
      </c>
    </row>
    <row r="17" spans="1:7" x14ac:dyDescent="0.2">
      <c r="A17" s="4" t="s">
        <v>51</v>
      </c>
      <c r="E17" s="39">
        <f>E8-E12</f>
        <v>16</v>
      </c>
      <c r="F17" s="5" t="s">
        <v>11</v>
      </c>
    </row>
    <row r="18" spans="1:7" x14ac:dyDescent="0.2">
      <c r="A18" s="4" t="s">
        <v>78</v>
      </c>
      <c r="E18" s="8">
        <v>33.5</v>
      </c>
      <c r="F18" s="5" t="s">
        <v>10</v>
      </c>
      <c r="G18" s="20" t="s">
        <v>105</v>
      </c>
    </row>
    <row r="19" spans="1:7" ht="17" x14ac:dyDescent="0.2">
      <c r="A19" s="4" t="s">
        <v>52</v>
      </c>
      <c r="E19" s="1">
        <f>1/E18</f>
        <v>2.9850746268656716E-2</v>
      </c>
      <c r="F19" s="38" t="s">
        <v>32</v>
      </c>
    </row>
    <row r="20" spans="1:7" x14ac:dyDescent="0.2">
      <c r="A20" s="4" t="s">
        <v>55</v>
      </c>
      <c r="E20" s="39">
        <f>E17/(EXP(-E19*48))</f>
        <v>67.049056841614174</v>
      </c>
      <c r="F20" s="5" t="s">
        <v>11</v>
      </c>
    </row>
    <row r="21" spans="1:7" x14ac:dyDescent="0.2">
      <c r="A21" s="6" t="s">
        <v>80</v>
      </c>
      <c r="B21" s="30"/>
      <c r="C21" s="30"/>
      <c r="D21" s="30"/>
      <c r="E21" s="21">
        <f>E16+E20</f>
        <v>156.36825204712392</v>
      </c>
      <c r="F21" s="7" t="s">
        <v>11</v>
      </c>
    </row>
    <row r="23" spans="1:7" x14ac:dyDescent="0.2">
      <c r="A23" s="37" t="s">
        <v>106</v>
      </c>
      <c r="B23" s="29"/>
      <c r="C23" s="29"/>
      <c r="D23" s="29"/>
      <c r="E23" s="29"/>
      <c r="F23" s="3"/>
    </row>
    <row r="24" spans="1:7" x14ac:dyDescent="0.2">
      <c r="A24" s="4" t="s">
        <v>28</v>
      </c>
      <c r="E24" s="8">
        <v>90</v>
      </c>
      <c r="F24" s="5" t="s">
        <v>29</v>
      </c>
      <c r="G24" s="20" t="s">
        <v>38</v>
      </c>
    </row>
    <row r="25" spans="1:7" x14ac:dyDescent="0.2">
      <c r="A25" s="4" t="s">
        <v>30</v>
      </c>
      <c r="E25" s="39">
        <f>E8*(E24/100)</f>
        <v>72</v>
      </c>
      <c r="F25" s="5" t="s">
        <v>33</v>
      </c>
    </row>
    <row r="26" spans="1:7" x14ac:dyDescent="0.2">
      <c r="A26" s="4" t="s">
        <v>77</v>
      </c>
      <c r="E26" s="8">
        <v>270</v>
      </c>
      <c r="F26" s="5" t="s">
        <v>10</v>
      </c>
      <c r="G26" s="20" t="s">
        <v>37</v>
      </c>
    </row>
    <row r="27" spans="1:7" x14ac:dyDescent="0.2">
      <c r="A27" s="4" t="s">
        <v>53</v>
      </c>
      <c r="E27" s="17">
        <f>LN(2)*E26</f>
        <v>187.14973875118523</v>
      </c>
      <c r="F27" s="5" t="s">
        <v>10</v>
      </c>
    </row>
    <row r="28" spans="1:7" ht="17" x14ac:dyDescent="0.2">
      <c r="A28" s="4" t="s">
        <v>54</v>
      </c>
      <c r="E28" s="1">
        <f>1/E26</f>
        <v>3.7037037037037038E-3</v>
      </c>
      <c r="F28" s="38" t="s">
        <v>32</v>
      </c>
    </row>
    <row r="29" spans="1:7" x14ac:dyDescent="0.2">
      <c r="A29" s="4" t="s">
        <v>49</v>
      </c>
      <c r="E29" s="39">
        <f>E25/(EXP(-E28*48))</f>
        <v>86.008308047742474</v>
      </c>
      <c r="F29" s="5" t="s">
        <v>11</v>
      </c>
    </row>
    <row r="30" spans="1:7" x14ac:dyDescent="0.2">
      <c r="A30" s="4" t="s">
        <v>51</v>
      </c>
      <c r="E30" s="39">
        <f>E8-E25</f>
        <v>8</v>
      </c>
      <c r="F30" s="5" t="s">
        <v>11</v>
      </c>
    </row>
    <row r="31" spans="1:7" x14ac:dyDescent="0.2">
      <c r="A31" s="4" t="s">
        <v>78</v>
      </c>
      <c r="E31" s="8">
        <v>33.5</v>
      </c>
      <c r="F31" s="5" t="s">
        <v>10</v>
      </c>
      <c r="G31" s="20" t="s">
        <v>105</v>
      </c>
    </row>
    <row r="32" spans="1:7" ht="17" x14ac:dyDescent="0.2">
      <c r="A32" s="4" t="s">
        <v>52</v>
      </c>
      <c r="E32" s="1">
        <f>1/E31</f>
        <v>2.9850746268656716E-2</v>
      </c>
      <c r="F32" s="38" t="s">
        <v>32</v>
      </c>
    </row>
    <row r="33" spans="1:6" x14ac:dyDescent="0.2">
      <c r="A33" s="4" t="s">
        <v>55</v>
      </c>
      <c r="E33" s="39">
        <f>E30/(EXP(-E32*48))</f>
        <v>33.524528420807087</v>
      </c>
      <c r="F33" s="5" t="s">
        <v>11</v>
      </c>
    </row>
    <row r="34" spans="1:6" x14ac:dyDescent="0.2">
      <c r="A34" s="6" t="s">
        <v>81</v>
      </c>
      <c r="B34" s="30"/>
      <c r="C34" s="30"/>
      <c r="D34" s="30"/>
      <c r="E34" s="21">
        <f>E29+E33</f>
        <v>119.53283646854956</v>
      </c>
      <c r="F34" s="7" t="s">
        <v>11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Prescription</vt:lpstr>
      <vt:lpstr>Marrow</vt:lpstr>
      <vt:lpstr>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2023-01-29T05:39:25Z</cp:lastPrinted>
  <dcterms:created xsi:type="dcterms:W3CDTF">2020-09-05T00:33:15Z</dcterms:created>
  <dcterms:modified xsi:type="dcterms:W3CDTF">2023-02-02T05:21:33Z</dcterms:modified>
</cp:coreProperties>
</file>