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KaoYungHsiang/Documents/Nuclear Medicine/PROJECTS/Second Strike I131/Revision1/"/>
    </mc:Choice>
  </mc:AlternateContent>
  <xr:revisionPtr revIDLastSave="0" documentId="13_ncr:1_{9A34A4C6-7382-8549-9313-C14A04B0DC62}" xr6:coauthVersionLast="47" xr6:coauthVersionMax="47" xr10:uidLastSave="{00000000-0000-0000-0000-000000000000}"/>
  <bookViews>
    <workbookView xWindow="0" yWindow="680" windowWidth="29920" windowHeight="18660" xr2:uid="{B4BDD4D1-4C28-4447-8E7A-320E6C6FAE3A}"/>
  </bookViews>
  <sheets>
    <sheet name="Theranostics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3" i="1" l="1"/>
  <c r="L32" i="1"/>
  <c r="I24" i="1"/>
  <c r="Q24" i="1"/>
  <c r="Y24" i="1"/>
  <c r="AG24" i="1"/>
  <c r="AO24" i="1"/>
  <c r="AA33" i="1"/>
  <c r="AB34" i="1" s="1"/>
  <c r="AQ37" i="1"/>
  <c r="AI37" i="1"/>
  <c r="AA37" i="1"/>
  <c r="S37" i="1"/>
  <c r="K37" i="1"/>
  <c r="S33" i="1"/>
  <c r="T34" i="1" s="1"/>
  <c r="K33" i="1"/>
  <c r="L34" i="1" s="1"/>
  <c r="L15" i="1"/>
  <c r="AR15" i="1"/>
  <c r="AJ15" i="1"/>
  <c r="AB15" i="1"/>
  <c r="T15" i="1"/>
  <c r="K15" i="1" l="1"/>
  <c r="AI33" i="1" l="1"/>
  <c r="AJ34" i="1" s="1"/>
  <c r="AQ33" i="1"/>
  <c r="AR34" i="1" s="1"/>
  <c r="C19" i="1"/>
  <c r="C20" i="1" l="1"/>
  <c r="L35" i="1" l="1"/>
  <c r="L38" i="1" s="1"/>
  <c r="T35" i="1"/>
  <c r="AB35" i="1" l="1"/>
  <c r="T38" i="1"/>
  <c r="AJ35" i="1" l="1"/>
  <c r="AB38" i="1"/>
  <c r="AR35" i="1" l="1"/>
  <c r="AR38" i="1" s="1"/>
  <c r="AJ38" i="1"/>
  <c r="C28" i="1" s="1"/>
  <c r="AO21" i="1"/>
  <c r="AG21" i="1"/>
  <c r="Y21" i="1"/>
  <c r="Q21" i="1"/>
  <c r="I21" i="1"/>
  <c r="I28" i="1" s="1"/>
  <c r="AO28" i="1" l="1"/>
  <c r="AO23" i="1"/>
  <c r="AG23" i="1"/>
  <c r="AG28" i="1" s="1"/>
  <c r="Y23" i="1"/>
  <c r="Y28" i="1" s="1"/>
  <c r="Q23" i="1"/>
  <c r="Q28" i="1" s="1"/>
  <c r="AO20" i="1"/>
  <c r="AG20" i="1"/>
  <c r="Y20" i="1"/>
  <c r="Q20" i="1"/>
  <c r="C11" i="1" l="1"/>
  <c r="AN3" i="1"/>
  <c r="AF3" i="1"/>
  <c r="AO16" i="1"/>
  <c r="AQ15" i="1"/>
  <c r="AP15" i="1"/>
  <c r="AO15" i="1"/>
  <c r="AS6" i="1"/>
  <c r="AS5" i="1"/>
  <c r="AS7" i="1" s="1"/>
  <c r="AO25" i="1" s="1"/>
  <c r="AO26" i="1" s="1"/>
  <c r="AO27" i="1" s="1"/>
  <c r="AG16" i="1"/>
  <c r="AI15" i="1"/>
  <c r="AH15" i="1"/>
  <c r="AG15" i="1"/>
  <c r="AK6" i="1"/>
  <c r="AK5" i="1"/>
  <c r="AK7" i="1" s="1"/>
  <c r="AG25" i="1" s="1"/>
  <c r="AG26" i="1" s="1"/>
  <c r="AG27" i="1" s="1"/>
  <c r="AG17" i="1" l="1"/>
  <c r="AJ16" i="1" s="1"/>
  <c r="AO17" i="1"/>
  <c r="AR16" i="1" s="1"/>
  <c r="AC6" i="1"/>
  <c r="AC5" i="1"/>
  <c r="AC7" i="1" s="1"/>
  <c r="Y25" i="1" s="1"/>
  <c r="Y26" i="1" s="1"/>
  <c r="Y27" i="1" s="1"/>
  <c r="U6" i="1"/>
  <c r="U5" i="1"/>
  <c r="I20" i="1"/>
  <c r="AQ16" i="1" l="1"/>
  <c r="AP16" i="1"/>
  <c r="AH16" i="1"/>
  <c r="AI16" i="1"/>
  <c r="U7" i="1"/>
  <c r="Q25" i="1" s="1"/>
  <c r="Q26" i="1" s="1"/>
  <c r="Q27" i="1" s="1"/>
  <c r="M6" i="1" l="1"/>
  <c r="M5" i="1"/>
  <c r="M7" i="1" l="1"/>
  <c r="X3" i="1"/>
  <c r="P3" i="1"/>
  <c r="Y16" i="1"/>
  <c r="AA15" i="1"/>
  <c r="Z15" i="1"/>
  <c r="Y15" i="1"/>
  <c r="Q16" i="1"/>
  <c r="S15" i="1"/>
  <c r="R15" i="1"/>
  <c r="Q15" i="1"/>
  <c r="I16" i="1"/>
  <c r="I25" i="1" l="1"/>
  <c r="I26" i="1" s="1"/>
  <c r="I27" i="1" s="1"/>
  <c r="Y17" i="1"/>
  <c r="AB16" i="1" s="1"/>
  <c r="Q17" i="1"/>
  <c r="T16" i="1" s="1"/>
  <c r="AA16" i="1" l="1"/>
  <c r="Z16" i="1"/>
  <c r="S16" i="1"/>
  <c r="R16" i="1"/>
  <c r="H3" i="1"/>
  <c r="C17" i="1" l="1"/>
  <c r="C12" i="1"/>
  <c r="J15" i="1"/>
  <c r="I15" i="1"/>
  <c r="I17" i="1" s="1"/>
  <c r="L16" i="1" s="1"/>
  <c r="C18" i="1" l="1"/>
  <c r="E24" i="1" s="1"/>
  <c r="K16" i="1"/>
  <c r="J16" i="1"/>
  <c r="C14" i="1"/>
  <c r="C25" i="1" s="1"/>
  <c r="C24" i="1" l="1"/>
  <c r="C27" i="1" s="1"/>
  <c r="E27" i="1"/>
  <c r="C21" i="1"/>
</calcChain>
</file>

<file path=xl/sharedStrings.xml><?xml version="1.0" encoding="utf-8"?>
<sst xmlns="http://schemas.openxmlformats.org/spreadsheetml/2006/main" count="431" uniqueCount="128">
  <si>
    <t>x-axis</t>
  </si>
  <si>
    <t>y-axis</t>
  </si>
  <si>
    <t>1st measurement</t>
  </si>
  <si>
    <t>2nd measurement</t>
  </si>
  <si>
    <t>Surname</t>
  </si>
  <si>
    <t>First Name</t>
  </si>
  <si>
    <t>Date of I-131</t>
  </si>
  <si>
    <t>Preparation</t>
  </si>
  <si>
    <t>Height</t>
  </si>
  <si>
    <t>cm</t>
  </si>
  <si>
    <t>Weight</t>
  </si>
  <si>
    <t>kg</t>
  </si>
  <si>
    <t>ml</t>
  </si>
  <si>
    <t>I-131 Administered</t>
  </si>
  <si>
    <t>Time (h)</t>
  </si>
  <si>
    <t>h</t>
  </si>
  <si>
    <t>%</t>
  </si>
  <si>
    <t>Residence Time per ml of Blood</t>
  </si>
  <si>
    <t>Gy/GBq</t>
  </si>
  <si>
    <t>Gy</t>
  </si>
  <si>
    <t>if Male</t>
  </si>
  <si>
    <t>if Female</t>
  </si>
  <si>
    <t>years old</t>
  </si>
  <si>
    <t>Age at I-131</t>
  </si>
  <si>
    <t>Date of Birth</t>
  </si>
  <si>
    <t>References:</t>
  </si>
  <si>
    <t>Date of Analysis</t>
  </si>
  <si>
    <t/>
  </si>
  <si>
    <t>I-131 exposure rate (μSv/h@3m)</t>
  </si>
  <si>
    <t>Average rate (μSv/h@3m)</t>
  </si>
  <si>
    <t>1 μSv/h of I-131 @ 3m represents</t>
  </si>
  <si>
    <t>i.e. from Curve equation</t>
  </si>
  <si>
    <r>
      <t xml:space="preserve">I-131 Effective Half-Life, </t>
    </r>
    <r>
      <rPr>
        <b/>
        <sz val="10"/>
        <color theme="1"/>
        <rFont val="Calibri"/>
        <family val="2"/>
        <scheme val="minor"/>
      </rPr>
      <t>T</t>
    </r>
    <r>
      <rPr>
        <i/>
        <sz val="8"/>
        <color theme="1"/>
        <rFont val="Calibri (Body)"/>
      </rPr>
      <t>e</t>
    </r>
  </si>
  <si>
    <t>i.e. ln2 / 𝝺</t>
  </si>
  <si>
    <t>(10 weeks)</t>
  </si>
  <si>
    <t>Gender (use list)</t>
  </si>
  <si>
    <t>h/ml</t>
  </si>
  <si>
    <r>
      <t xml:space="preserve">i.e. </t>
    </r>
    <r>
      <rPr>
        <b/>
        <sz val="10"/>
        <color theme="1"/>
        <rFont val="Calibri"/>
        <family val="2"/>
        <scheme val="minor"/>
      </rPr>
      <t>Ã</t>
    </r>
    <r>
      <rPr>
        <sz val="10"/>
        <color theme="1"/>
        <rFont val="Calibri"/>
        <family val="2"/>
        <scheme val="minor"/>
      </rPr>
      <t xml:space="preserve"> = </t>
    </r>
    <r>
      <rPr>
        <b/>
        <sz val="10"/>
        <color theme="1"/>
        <rFont val="Calibri"/>
        <family val="2"/>
        <scheme val="minor"/>
      </rPr>
      <t>A</t>
    </r>
    <r>
      <rPr>
        <sz val="8"/>
        <color theme="1"/>
        <rFont val="Calibri (Body)"/>
      </rPr>
      <t>o</t>
    </r>
    <r>
      <rPr>
        <sz val="10"/>
        <color theme="1"/>
        <rFont val="Calibri"/>
        <family val="2"/>
        <scheme val="minor"/>
      </rPr>
      <t xml:space="preserve"> x 𝝉</t>
    </r>
  </si>
  <si>
    <t>i.e. 𝝉 = 1 / 𝝺</t>
  </si>
  <si>
    <r>
      <t>h</t>
    </r>
    <r>
      <rPr>
        <vertAlign val="superscript"/>
        <sz val="9"/>
        <color theme="1"/>
        <rFont val="Calibri (Body)"/>
      </rPr>
      <t>-1</t>
    </r>
  </si>
  <si>
    <t>constrained by dose rate</t>
  </si>
  <si>
    <r>
      <t xml:space="preserve">normalised to </t>
    </r>
    <r>
      <rPr>
        <b/>
        <sz val="10"/>
        <color theme="1"/>
        <rFont val="Calibri"/>
        <family val="2"/>
        <scheme val="minor"/>
      </rPr>
      <t>A</t>
    </r>
    <r>
      <rPr>
        <sz val="8"/>
        <color theme="1"/>
        <rFont val="Calibri (Body)"/>
      </rPr>
      <t>o</t>
    </r>
  </si>
  <si>
    <t>(use list)</t>
  </si>
  <si>
    <t>EXAMPLE</t>
  </si>
  <si>
    <t>GBq</t>
  </si>
  <si>
    <t>Predicted remaining Marrow absorbed dose tolerance</t>
  </si>
  <si>
    <t>Cumulative I-131 activity administered to date</t>
  </si>
  <si>
    <t>Cumulative I-131 Marrow absorbed dose to date</t>
  </si>
  <si>
    <t>Predicted Blood absorbed dose per GBq of I-131</t>
  </si>
  <si>
    <t>Predictive Calculator © Dr Y.H. Kao MBBS MRCP FAMS FRACP FAANMS</t>
  </si>
  <si>
    <r>
      <t xml:space="preserve">Predicted </t>
    </r>
    <r>
      <rPr>
        <sz val="10"/>
        <color rgb="FFFF0000"/>
        <rFont val="Calibri (Body)"/>
      </rPr>
      <t>cumulative</t>
    </r>
    <r>
      <rPr>
        <sz val="10"/>
        <color theme="1"/>
        <rFont val="Calibri"/>
        <family val="2"/>
        <scheme val="minor"/>
      </rPr>
      <t xml:space="preserve"> lifetime Marrow I-131 tolerance</t>
    </r>
  </si>
  <si>
    <r>
      <t xml:space="preserve">Predicted </t>
    </r>
    <r>
      <rPr>
        <sz val="10"/>
        <color rgb="FFFF0000"/>
        <rFont val="Calibri (Body)"/>
      </rPr>
      <t>remaining</t>
    </r>
    <r>
      <rPr>
        <sz val="10"/>
        <color theme="1"/>
        <rFont val="Calibri"/>
        <family val="2"/>
        <scheme val="minor"/>
      </rPr>
      <t xml:space="preserve"> lifetime Marrow I-131 tolerance</t>
    </r>
  </si>
  <si>
    <t>First fraction</t>
  </si>
  <si>
    <t>Second fraction</t>
  </si>
  <si>
    <t>Third fraction</t>
  </si>
  <si>
    <t>Fourth fraction</t>
  </si>
  <si>
    <t>Fifth fraction</t>
  </si>
  <si>
    <r>
      <t xml:space="preserve">Predicted maximum safe Marrow absorbed dose </t>
    </r>
    <r>
      <rPr>
        <sz val="10"/>
        <color rgb="FFFF0000"/>
        <rFont val="Calibri (Body)"/>
      </rPr>
      <t>per #</t>
    </r>
  </si>
  <si>
    <t>(10 week)</t>
  </si>
  <si>
    <t>I-131 fraction</t>
  </si>
  <si>
    <t>Whole Body Decay Constant, 𝝺</t>
  </si>
  <si>
    <t>Whole Body Activity at 48h</t>
  </si>
  <si>
    <t>Remaining lung tolerance after 1st fraction</t>
  </si>
  <si>
    <t>% of Whole Body Residence Time attributed to Blood</t>
  </si>
  <si>
    <t>MARROW DOSIMETRY</t>
  </si>
  <si>
    <t>LUNG DOSIMETRY</t>
  </si>
  <si>
    <t>Lung safety threshold, scaled by height (cm)</t>
  </si>
  <si>
    <t>Marrow Absorbed Dose</t>
  </si>
  <si>
    <t>Remaining lung tolerance after 2nd fraction</t>
  </si>
  <si>
    <t>Predicted Whole Body Decay Constant for next fraction</t>
  </si>
  <si>
    <t>Predicted I-131 prescription contrained by lung</t>
  </si>
  <si>
    <t>Remaining lung tolerance after 3rd fraction</t>
  </si>
  <si>
    <t>Remaining lung tolerance after 4th fraction</t>
  </si>
  <si>
    <t>Remaining lung tolerance after 5th fraction</t>
  </si>
  <si>
    <t>Predicted Whole Body Residence Time for next fraction</t>
  </si>
  <si>
    <t>The next I-131 therapy shall be the patient's</t>
  </si>
  <si>
    <r>
      <t xml:space="preserve">Predicted </t>
    </r>
    <r>
      <rPr>
        <sz val="10"/>
        <color rgb="FFFF0000"/>
        <rFont val="Calibri (Body)"/>
      </rPr>
      <t>remaining</t>
    </r>
    <r>
      <rPr>
        <sz val="10"/>
        <color theme="1"/>
        <rFont val="Calibri"/>
        <family val="2"/>
        <scheme val="minor"/>
      </rPr>
      <t xml:space="preserve"> lifetime Lung I-131 tolerance</t>
    </r>
  </si>
  <si>
    <t>GBq per #</t>
  </si>
  <si>
    <t>BLOOD VOLUME ESTIMATE</t>
  </si>
  <si>
    <t>fraction (#) of high activity I-131</t>
  </si>
  <si>
    <r>
      <t xml:space="preserve">Predicted tolerance </t>
    </r>
    <r>
      <rPr>
        <sz val="10"/>
        <color rgb="FFFF0000"/>
        <rFont val="Calibri (Body)"/>
      </rPr>
      <t xml:space="preserve">per # </t>
    </r>
    <r>
      <rPr>
        <sz val="10"/>
        <color theme="1"/>
        <rFont val="Calibri"/>
        <family val="2"/>
        <scheme val="minor"/>
      </rPr>
      <t xml:space="preserve">by marrow </t>
    </r>
    <r>
      <rPr>
        <sz val="10"/>
        <color rgb="FFFF0000"/>
        <rFont val="Calibri (Body)"/>
      </rPr>
      <t>dose rate (Gy/h)</t>
    </r>
  </si>
  <si>
    <t>Blood Vol</t>
  </si>
  <si>
    <t>assuming blood as marrow surrogate</t>
  </si>
  <si>
    <t>TECHNICAL GUIDANCE</t>
  </si>
  <si>
    <t>1. Only key into the YELLOW boxes.</t>
  </si>
  <si>
    <t xml:space="preserve">and excluded from dosimetric analysis. </t>
  </si>
  <si>
    <t>Second</t>
  </si>
  <si>
    <t>ID Number</t>
  </si>
  <si>
    <t>Example</t>
  </si>
  <si>
    <t>Predicted % of whole body TIAC attributed to Blood</t>
  </si>
  <si>
    <t>Female</t>
  </si>
  <si>
    <t>Thyroid Hormone Withdrawal</t>
  </si>
  <si>
    <t>% (see Technical Guidance)</t>
  </si>
  <si>
    <t>Whole Body Residence Time, 𝝉</t>
  </si>
  <si>
    <t>Blood is Marrow surrogate</t>
  </si>
  <si>
    <t>Gy/h per #</t>
  </si>
  <si>
    <t>Marrow absorbed dose rate constraint per fraction (#)</t>
  </si>
  <si>
    <t>Lifetime cumulative Marrow I-131 absorbed dose limit</t>
  </si>
  <si>
    <t xml:space="preserve">3. Zero hour is the time of I-131 administration. Set the y-intercept to the administered I-131 activity. </t>
  </si>
  <si>
    <t>4. See Tables 1 and 2 for guidance on predicted whole body TIAC and % of whole body TIAC attributed to blood.</t>
  </si>
  <si>
    <t>[2] Lassmann et al. Eur J Nucl Med Mol Imaging. 2008;35:1405-1412</t>
  </si>
  <si>
    <t xml:space="preserve">[3] Hanscheid et al. Endocr Relat Cancer. 2009;16:1283-1289	</t>
  </si>
  <si>
    <r>
      <t>Predicted whole body TIAC</t>
    </r>
    <r>
      <rPr>
        <b/>
        <sz val="10"/>
        <color theme="1"/>
        <rFont val="Calibri"/>
        <family val="2"/>
        <scheme val="minor"/>
      </rPr>
      <t xml:space="preserve"> </t>
    </r>
    <r>
      <rPr>
        <sz val="10"/>
        <color theme="1"/>
        <rFont val="Calibri"/>
        <family val="2"/>
        <scheme val="minor"/>
      </rPr>
      <t>for the next I-131 fraction</t>
    </r>
  </si>
  <si>
    <t>Predicted Blood TIAC for the next I-131 fraction</t>
  </si>
  <si>
    <t>Predicted TIAC per ml of Blood for the next I-131 fraction</t>
  </si>
  <si>
    <t>PREDICTIVE I-131 PRESCRIPTION BY MARROW CONSTRAINT</t>
  </si>
  <si>
    <t>PREDICTIVE I-131 PRESCRIPTION BY LUNG CONSTRAINT</t>
  </si>
  <si>
    <t>ESTIMATES AND MUST BE CONSIDERED IN CONJUNCTION WITH ALL OTHER CLINICAL, IMAGING AND</t>
  </si>
  <si>
    <t>BIOCHEMICAL INFORMATION, DOSIMETRIC AND REAL LIFE UNCERTAINTIES.</t>
  </si>
  <si>
    <t>FOR EDUCATION, TRAINING AND RESEARCH PURPOSES ONLY. ALL SUGGESTED I-131 ACTIVITIES ARE ONLY</t>
  </si>
  <si>
    <r>
      <t xml:space="preserve">5. Consider the contraints by marrow, lung and dose rate and select the </t>
    </r>
    <r>
      <rPr>
        <b/>
        <sz val="10"/>
        <color rgb="FFFF0000"/>
        <rFont val="Calibri (Body)"/>
      </rPr>
      <t>LOWEST</t>
    </r>
    <r>
      <rPr>
        <sz val="10"/>
        <color rgb="FFFF0000"/>
        <rFont val="Calibri (Body)"/>
      </rPr>
      <t xml:space="preserve"> </t>
    </r>
    <r>
      <rPr>
        <sz val="10"/>
        <color theme="1"/>
        <rFont val="Calibri (Body)"/>
      </rPr>
      <t>activity to prescribe.</t>
    </r>
  </si>
  <si>
    <t xml:space="preserve">Blood Absorbed Dose per GBq </t>
  </si>
  <si>
    <t>Blood Absorbed Dose per GBq</t>
  </si>
  <si>
    <t xml:space="preserve">PERSONALISED PREDICTIVE DOSIMETRY FOR I-131 MOLECULAR RADIOTHERAPY </t>
  </si>
  <si>
    <t>I-131 RADIOIODINE THERANOSTICS FOR DIFFERENTIATED THYROID CANCER</t>
  </si>
  <si>
    <t>v230623</t>
  </si>
  <si>
    <t>MBq.h</t>
  </si>
  <si>
    <t>Gy/MBq.h</t>
  </si>
  <si>
    <t>assuming WB as marrow surrogate</t>
  </si>
  <si>
    <t>Whole Body Absorbed Dose</t>
  </si>
  <si>
    <t>[4] Taprogge et al. Eur J Nucl Med Mol Imaging. 2023. doi: 10.1007/s00259-023-06295-0.</t>
  </si>
  <si>
    <r>
      <t xml:space="preserve">Whole Body Cumulative Activity, </t>
    </r>
    <r>
      <rPr>
        <b/>
        <sz val="10"/>
        <color theme="1"/>
        <rFont val="Calibri"/>
        <family val="2"/>
        <scheme val="minor"/>
      </rPr>
      <t>Ã</t>
    </r>
  </si>
  <si>
    <t>Whole Body self irradiation S value</t>
  </si>
  <si>
    <t>[1] Kao YH. Asia Ocean J Nucl Med Biol. 2023;11:158-167</t>
  </si>
  <si>
    <t>2. Low activity I-131 administrations for diagnostic whole body scans are assumed negligible</t>
  </si>
  <si>
    <t>Retained I-131 activity (GBq)</t>
  </si>
  <si>
    <t>GBq at 48h</t>
  </si>
  <si>
    <t xml:space="preserve">GBq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</si>
</sst>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[$-C09]d\ mmmm\ yyyy;@"/>
    <numFmt numFmtId="165" formatCode="0.0"/>
    <numFmt numFmtId="166" formatCode="0.000"/>
    <numFmt numFmtId="167" formatCode="[$-809]dd\ mmmm\ yyyy;@"/>
    <numFmt numFmtId="168" formatCode="[$-C09]dd\-mmm\-yy;@"/>
    <numFmt numFmtId="169" formatCode="0.000000000"/>
    <numFmt numFmtId="170" formatCode="#,##0.0"/>
    <numFmt numFmtId="171" formatCode="0.0E+00"/>
    <numFmt numFmtId="172" formatCode="0.00000000"/>
  </numFmts>
  <fonts count="18" x14ac:knownFonts="1"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 (Body)"/>
    </font>
    <font>
      <b/>
      <u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u/>
      <sz val="10"/>
      <color theme="1"/>
      <name val="Calibri"/>
      <family val="2"/>
      <scheme val="minor"/>
    </font>
    <font>
      <i/>
      <sz val="8"/>
      <color theme="1"/>
      <name val="Calibri (Body)"/>
    </font>
    <font>
      <sz val="8"/>
      <color theme="1"/>
      <name val="Calibri (Body)"/>
    </font>
    <font>
      <sz val="10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vertAlign val="superscript"/>
      <sz val="9"/>
      <color theme="1"/>
      <name val="Calibri (Body)"/>
    </font>
    <font>
      <sz val="10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rgb="FFFF0000"/>
      <name val="Calibri (Body)"/>
    </font>
    <font>
      <b/>
      <sz val="10"/>
      <color rgb="FFFF0000"/>
      <name val="Calibri (Body)"/>
    </font>
    <font>
      <u/>
      <sz val="10"/>
      <color theme="1"/>
      <name val="Calibri"/>
      <family val="2"/>
      <scheme val="minor"/>
    </font>
    <font>
      <sz val="10"/>
      <color theme="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rgb="FF000000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0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165" fontId="1" fillId="2" borderId="1" xfId="0" applyNumberFormat="1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/>
    <xf numFmtId="0" fontId="1" fillId="3" borderId="5" xfId="0" applyFont="1" applyFill="1" applyBorder="1" applyAlignment="1">
      <alignment horizontal="center"/>
    </xf>
    <xf numFmtId="0" fontId="1" fillId="3" borderId="5" xfId="0" applyFont="1" applyFill="1" applyBorder="1"/>
    <xf numFmtId="0" fontId="1" fillId="5" borderId="2" xfId="0" applyFont="1" applyFill="1" applyBorder="1" applyAlignment="1">
      <alignment horizontal="center"/>
    </xf>
    <xf numFmtId="0" fontId="1" fillId="5" borderId="3" xfId="0" applyFont="1" applyFill="1" applyBorder="1"/>
    <xf numFmtId="0" fontId="1" fillId="5" borderId="4" xfId="0" applyFont="1" applyFill="1" applyBorder="1"/>
    <xf numFmtId="0" fontId="1" fillId="5" borderId="5" xfId="0" applyFont="1" applyFill="1" applyBorder="1" applyAlignment="1">
      <alignment horizontal="center"/>
    </xf>
    <xf numFmtId="0" fontId="1" fillId="5" borderId="0" xfId="0" applyFont="1" applyFill="1"/>
    <xf numFmtId="0" fontId="1" fillId="5" borderId="5" xfId="0" applyFont="1" applyFill="1" applyBorder="1"/>
    <xf numFmtId="0" fontId="1" fillId="5" borderId="8" xfId="0" applyFont="1" applyFill="1" applyBorder="1"/>
    <xf numFmtId="166" fontId="1" fillId="0" borderId="0" xfId="0" applyNumberFormat="1" applyFont="1" applyAlignment="1">
      <alignment horizontal="center"/>
    </xf>
    <xf numFmtId="167" fontId="1" fillId="2" borderId="1" xfId="0" applyNumberFormat="1" applyFont="1" applyFill="1" applyBorder="1" applyAlignment="1">
      <alignment horizontal="center"/>
    </xf>
    <xf numFmtId="1" fontId="1" fillId="0" borderId="0" xfId="0" applyNumberFormat="1" applyFont="1" applyAlignment="1">
      <alignment horizontal="center"/>
    </xf>
    <xf numFmtId="165" fontId="1" fillId="0" borderId="0" xfId="0" applyNumberFormat="1" applyFont="1" applyAlignment="1">
      <alignment horizontal="center"/>
    </xf>
    <xf numFmtId="2" fontId="1" fillId="0" borderId="0" xfId="0" applyNumberFormat="1" applyFont="1" applyAlignment="1">
      <alignment horizontal="center"/>
    </xf>
    <xf numFmtId="0" fontId="2" fillId="0" borderId="0" xfId="0" applyFont="1"/>
    <xf numFmtId="0" fontId="1" fillId="5" borderId="0" xfId="0" applyFont="1" applyFill="1" applyAlignment="1">
      <alignment horizontal="left"/>
    </xf>
    <xf numFmtId="0" fontId="1" fillId="5" borderId="2" xfId="0" applyFont="1" applyFill="1" applyBorder="1"/>
    <xf numFmtId="0" fontId="1" fillId="5" borderId="3" xfId="0" applyFont="1" applyFill="1" applyBorder="1" applyAlignment="1">
      <alignment horizontal="center"/>
    </xf>
    <xf numFmtId="0" fontId="1" fillId="5" borderId="7" xfId="0" applyFont="1" applyFill="1" applyBorder="1" applyAlignment="1">
      <alignment horizontal="center"/>
    </xf>
    <xf numFmtId="0" fontId="1" fillId="3" borderId="7" xfId="0" applyFont="1" applyFill="1" applyBorder="1"/>
    <xf numFmtId="0" fontId="1" fillId="3" borderId="8" xfId="0" applyFont="1" applyFill="1" applyBorder="1"/>
    <xf numFmtId="0" fontId="1" fillId="6" borderId="2" xfId="0" applyFont="1" applyFill="1" applyBorder="1" applyAlignment="1">
      <alignment horizontal="center"/>
    </xf>
    <xf numFmtId="0" fontId="1" fillId="6" borderId="5" xfId="0" applyFont="1" applyFill="1" applyBorder="1" applyAlignment="1">
      <alignment horizontal="center"/>
    </xf>
    <xf numFmtId="0" fontId="1" fillId="6" borderId="5" xfId="0" applyFont="1" applyFill="1" applyBorder="1"/>
    <xf numFmtId="0" fontId="1" fillId="6" borderId="8" xfId="0" applyFont="1" applyFill="1" applyBorder="1"/>
    <xf numFmtId="0" fontId="1" fillId="6" borderId="3" xfId="0" applyFont="1" applyFill="1" applyBorder="1"/>
    <xf numFmtId="0" fontId="1" fillId="6" borderId="2" xfId="0" applyFont="1" applyFill="1" applyBorder="1"/>
    <xf numFmtId="0" fontId="1" fillId="6" borderId="7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1" fillId="6" borderId="4" xfId="0" applyFont="1" applyFill="1" applyBorder="1"/>
    <xf numFmtId="0" fontId="1" fillId="6" borderId="6" xfId="0" applyFont="1" applyFill="1" applyBorder="1"/>
    <xf numFmtId="0" fontId="5" fillId="0" borderId="0" xfId="0" applyFont="1"/>
    <xf numFmtId="165" fontId="5" fillId="0" borderId="0" xfId="0" applyNumberFormat="1" applyFont="1"/>
    <xf numFmtId="9" fontId="5" fillId="0" borderId="0" xfId="0" applyNumberFormat="1" applyFont="1"/>
    <xf numFmtId="165" fontId="5" fillId="0" borderId="0" xfId="0" applyNumberFormat="1" applyFont="1" applyAlignment="1">
      <alignment horizontal="lef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1" fillId="7" borderId="3" xfId="0" applyFont="1" applyFill="1" applyBorder="1"/>
    <xf numFmtId="0" fontId="1" fillId="7" borderId="2" xfId="0" applyFont="1" applyFill="1" applyBorder="1"/>
    <xf numFmtId="0" fontId="1" fillId="7" borderId="7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7" borderId="4" xfId="0" applyFont="1" applyFill="1" applyBorder="1"/>
    <xf numFmtId="0" fontId="1" fillId="7" borderId="6" xfId="0" applyFont="1" applyFill="1" applyBorder="1"/>
    <xf numFmtId="0" fontId="1" fillId="8" borderId="5" xfId="0" applyFont="1" applyFill="1" applyBorder="1" applyAlignment="1">
      <alignment horizontal="center"/>
    </xf>
    <xf numFmtId="0" fontId="1" fillId="8" borderId="8" xfId="0" applyFont="1" applyFill="1" applyBorder="1"/>
    <xf numFmtId="0" fontId="1" fillId="8" borderId="3" xfId="0" applyFont="1" applyFill="1" applyBorder="1"/>
    <xf numFmtId="0" fontId="1" fillId="8" borderId="2" xfId="0" applyFont="1" applyFill="1" applyBorder="1"/>
    <xf numFmtId="0" fontId="1" fillId="8" borderId="7" xfId="0" applyFont="1" applyFill="1" applyBorder="1" applyAlignment="1">
      <alignment horizontal="center"/>
    </xf>
    <xf numFmtId="0" fontId="1" fillId="8" borderId="6" xfId="0" applyFont="1" applyFill="1" applyBorder="1"/>
    <xf numFmtId="0" fontId="1" fillId="8" borderId="3" xfId="0" applyFont="1" applyFill="1" applyBorder="1" applyAlignment="1">
      <alignment horizontal="center"/>
    </xf>
    <xf numFmtId="0" fontId="1" fillId="8" borderId="4" xfId="0" applyFont="1" applyFill="1" applyBorder="1"/>
    <xf numFmtId="49" fontId="1" fillId="0" borderId="0" xfId="0" applyNumberFormat="1" applyFont="1" applyAlignment="1">
      <alignment horizontal="center"/>
    </xf>
    <xf numFmtId="165" fontId="5" fillId="0" borderId="0" xfId="0" applyNumberFormat="1" applyFont="1" applyAlignment="1">
      <alignment horizontal="center"/>
    </xf>
    <xf numFmtId="0" fontId="6" fillId="0" borderId="0" xfId="0" applyFont="1"/>
    <xf numFmtId="0" fontId="5" fillId="0" borderId="0" xfId="0" applyFont="1" applyAlignment="1">
      <alignment horizontal="center"/>
    </xf>
    <xf numFmtId="4" fontId="1" fillId="2" borderId="1" xfId="0" applyNumberFormat="1" applyFont="1" applyFill="1" applyBorder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left"/>
    </xf>
    <xf numFmtId="0" fontId="12" fillId="0" borderId="0" xfId="0" applyFont="1"/>
    <xf numFmtId="168" fontId="1" fillId="0" borderId="0" xfId="0" applyNumberFormat="1" applyFont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2" fillId="3" borderId="3" xfId="0" applyFont="1" applyFill="1" applyBorder="1"/>
    <xf numFmtId="0" fontId="1" fillId="0" borderId="0" xfId="0" quotePrefix="1" applyFont="1" applyAlignment="1">
      <alignment horizontal="center"/>
    </xf>
    <xf numFmtId="0" fontId="2" fillId="5" borderId="0" xfId="0" applyFont="1" applyFill="1"/>
    <xf numFmtId="171" fontId="1" fillId="2" borderId="1" xfId="0" applyNumberFormat="1" applyFont="1" applyFill="1" applyBorder="1"/>
    <xf numFmtId="170" fontId="1" fillId="5" borderId="8" xfId="0" applyNumberFormat="1" applyFont="1" applyFill="1" applyBorder="1" applyAlignment="1">
      <alignment horizontal="center"/>
    </xf>
    <xf numFmtId="170" fontId="1" fillId="8" borderId="8" xfId="0" applyNumberFormat="1" applyFont="1" applyFill="1" applyBorder="1" applyAlignment="1">
      <alignment horizontal="center"/>
    </xf>
    <xf numFmtId="170" fontId="1" fillId="6" borderId="8" xfId="0" applyNumberFormat="1" applyFont="1" applyFill="1" applyBorder="1" applyAlignment="1">
      <alignment horizontal="center"/>
    </xf>
    <xf numFmtId="170" fontId="1" fillId="7" borderId="8" xfId="0" applyNumberFormat="1" applyFont="1" applyFill="1" applyBorder="1" applyAlignment="1">
      <alignment horizontal="center"/>
    </xf>
    <xf numFmtId="0" fontId="4" fillId="5" borderId="0" xfId="0" applyFont="1" applyFill="1"/>
    <xf numFmtId="166" fontId="1" fillId="3" borderId="1" xfId="0" applyNumberFormat="1" applyFont="1" applyFill="1" applyBorder="1" applyAlignment="1">
      <alignment horizontal="center"/>
    </xf>
    <xf numFmtId="165" fontId="1" fillId="5" borderId="1" xfId="0" applyNumberFormat="1" applyFont="1" applyFill="1" applyBorder="1" applyAlignment="1">
      <alignment horizontal="center"/>
    </xf>
    <xf numFmtId="165" fontId="1" fillId="8" borderId="1" xfId="0" applyNumberFormat="1" applyFont="1" applyFill="1" applyBorder="1" applyAlignment="1">
      <alignment horizontal="center"/>
    </xf>
    <xf numFmtId="165" fontId="1" fillId="6" borderId="1" xfId="0" applyNumberFormat="1" applyFont="1" applyFill="1" applyBorder="1" applyAlignment="1">
      <alignment horizontal="center"/>
    </xf>
    <xf numFmtId="165" fontId="1" fillId="7" borderId="1" xfId="0" applyNumberFormat="1" applyFont="1" applyFill="1" applyBorder="1" applyAlignment="1">
      <alignment horizontal="center"/>
    </xf>
    <xf numFmtId="166" fontId="1" fillId="5" borderId="1" xfId="0" applyNumberFormat="1" applyFont="1" applyFill="1" applyBorder="1" applyAlignment="1">
      <alignment horizontal="center"/>
    </xf>
    <xf numFmtId="166" fontId="1" fillId="8" borderId="1" xfId="0" applyNumberFormat="1" applyFont="1" applyFill="1" applyBorder="1" applyAlignment="1">
      <alignment horizontal="center"/>
    </xf>
    <xf numFmtId="166" fontId="1" fillId="6" borderId="1" xfId="0" applyNumberFormat="1" applyFont="1" applyFill="1" applyBorder="1" applyAlignment="1">
      <alignment horizontal="center"/>
    </xf>
    <xf numFmtId="166" fontId="1" fillId="7" borderId="1" xfId="0" applyNumberFormat="1" applyFont="1" applyFill="1" applyBorder="1" applyAlignment="1">
      <alignment horizontal="center"/>
    </xf>
    <xf numFmtId="2" fontId="2" fillId="5" borderId="1" xfId="0" applyNumberFormat="1" applyFont="1" applyFill="1" applyBorder="1" applyAlignment="1">
      <alignment horizontal="center"/>
    </xf>
    <xf numFmtId="0" fontId="4" fillId="4" borderId="0" xfId="0" applyFont="1" applyFill="1"/>
    <xf numFmtId="0" fontId="1" fillId="4" borderId="0" xfId="0" applyFont="1" applyFill="1"/>
    <xf numFmtId="2" fontId="2" fillId="4" borderId="1" xfId="0" applyNumberFormat="1" applyFont="1" applyFill="1" applyBorder="1" applyAlignment="1">
      <alignment horizontal="center"/>
    </xf>
    <xf numFmtId="172" fontId="1" fillId="0" borderId="0" xfId="0" applyNumberFormat="1" applyFont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6" xfId="0" applyFont="1" applyFill="1" applyBorder="1"/>
    <xf numFmtId="0" fontId="1" fillId="3" borderId="6" xfId="0" applyFont="1" applyFill="1" applyBorder="1" applyAlignment="1">
      <alignment horizontal="center"/>
    </xf>
    <xf numFmtId="11" fontId="1" fillId="3" borderId="6" xfId="0" applyNumberFormat="1" applyFont="1" applyFill="1" applyBorder="1"/>
    <xf numFmtId="0" fontId="1" fillId="3" borderId="9" xfId="0" applyFont="1" applyFill="1" applyBorder="1"/>
    <xf numFmtId="0" fontId="16" fillId="3" borderId="2" xfId="0" applyFont="1" applyFill="1" applyBorder="1"/>
    <xf numFmtId="0" fontId="1" fillId="3" borderId="7" xfId="0" applyFont="1" applyFill="1" applyBorder="1" applyAlignment="1">
      <alignment horizontal="center"/>
    </xf>
    <xf numFmtId="170" fontId="1" fillId="3" borderId="8" xfId="0" applyNumberFormat="1" applyFont="1" applyFill="1" applyBorder="1" applyAlignment="1">
      <alignment horizontal="center"/>
    </xf>
    <xf numFmtId="0" fontId="2" fillId="5" borderId="3" xfId="0" applyFont="1" applyFill="1" applyBorder="1"/>
    <xf numFmtId="0" fontId="1" fillId="5" borderId="6" xfId="0" applyFont="1" applyFill="1" applyBorder="1"/>
    <xf numFmtId="0" fontId="1" fillId="5" borderId="9" xfId="0" applyFont="1" applyFill="1" applyBorder="1"/>
    <xf numFmtId="0" fontId="1" fillId="5" borderId="6" xfId="0" applyFont="1" applyFill="1" applyBorder="1" applyAlignment="1">
      <alignment horizontal="center"/>
    </xf>
    <xf numFmtId="11" fontId="1" fillId="5" borderId="6" xfId="0" applyNumberFormat="1" applyFont="1" applyFill="1" applyBorder="1"/>
    <xf numFmtId="0" fontId="1" fillId="5" borderId="7" xfId="0" applyFont="1" applyFill="1" applyBorder="1"/>
    <xf numFmtId="0" fontId="1" fillId="5" borderId="8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center"/>
    </xf>
    <xf numFmtId="0" fontId="2" fillId="8" borderId="3" xfId="0" applyFont="1" applyFill="1" applyBorder="1"/>
    <xf numFmtId="0" fontId="1" fillId="8" borderId="5" xfId="0" applyFont="1" applyFill="1" applyBorder="1"/>
    <xf numFmtId="0" fontId="1" fillId="8" borderId="6" xfId="0" applyFont="1" applyFill="1" applyBorder="1" applyAlignment="1">
      <alignment horizontal="center"/>
    </xf>
    <xf numFmtId="11" fontId="1" fillId="8" borderId="6" xfId="0" applyNumberFormat="1" applyFont="1" applyFill="1" applyBorder="1"/>
    <xf numFmtId="0" fontId="1" fillId="8" borderId="7" xfId="0" applyFont="1" applyFill="1" applyBorder="1"/>
    <xf numFmtId="0" fontId="1" fillId="8" borderId="9" xfId="0" applyFont="1" applyFill="1" applyBorder="1"/>
    <xf numFmtId="0" fontId="2" fillId="6" borderId="3" xfId="0" applyFont="1" applyFill="1" applyBorder="1"/>
    <xf numFmtId="0" fontId="1" fillId="6" borderId="9" xfId="0" applyFont="1" applyFill="1" applyBorder="1"/>
    <xf numFmtId="0" fontId="1" fillId="6" borderId="6" xfId="0" applyFont="1" applyFill="1" applyBorder="1" applyAlignment="1">
      <alignment horizontal="center"/>
    </xf>
    <xf numFmtId="11" fontId="1" fillId="6" borderId="6" xfId="0" applyNumberFormat="1" applyFont="1" applyFill="1" applyBorder="1"/>
    <xf numFmtId="0" fontId="1" fillId="6" borderId="7" xfId="0" applyFont="1" applyFill="1" applyBorder="1"/>
    <xf numFmtId="0" fontId="1" fillId="7" borderId="2" xfId="0" applyFont="1" applyFill="1" applyBorder="1" applyAlignment="1">
      <alignment horizontal="center"/>
    </xf>
    <xf numFmtId="0" fontId="2" fillId="9" borderId="3" xfId="0" applyFont="1" applyFill="1" applyBorder="1"/>
    <xf numFmtId="0" fontId="1" fillId="7" borderId="5" xfId="0" applyFont="1" applyFill="1" applyBorder="1"/>
    <xf numFmtId="0" fontId="1" fillId="7" borderId="9" xfId="0" applyFont="1" applyFill="1" applyBorder="1"/>
    <xf numFmtId="0" fontId="1" fillId="7" borderId="6" xfId="0" applyFont="1" applyFill="1" applyBorder="1" applyAlignment="1">
      <alignment horizontal="center"/>
    </xf>
    <xf numFmtId="11" fontId="1" fillId="9" borderId="6" xfId="0" applyNumberFormat="1" applyFont="1" applyFill="1" applyBorder="1"/>
    <xf numFmtId="0" fontId="1" fillId="7" borderId="7" xfId="0" applyFont="1" applyFill="1" applyBorder="1"/>
    <xf numFmtId="0" fontId="13" fillId="0" borderId="0" xfId="0" applyFont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166" fontId="1" fillId="3" borderId="0" xfId="0" applyNumberFormat="1" applyFont="1" applyFill="1" applyAlignment="1">
      <alignment horizontal="center"/>
    </xf>
    <xf numFmtId="2" fontId="1" fillId="3" borderId="1" xfId="0" applyNumberFormat="1" applyFont="1" applyFill="1" applyBorder="1" applyAlignment="1">
      <alignment horizontal="center"/>
    </xf>
    <xf numFmtId="0" fontId="1" fillId="8" borderId="0" xfId="0" applyFont="1" applyFill="1"/>
    <xf numFmtId="0" fontId="1" fillId="5" borderId="0" xfId="0" applyFont="1" applyFill="1" applyAlignment="1">
      <alignment horizontal="center"/>
    </xf>
    <xf numFmtId="2" fontId="1" fillId="5" borderId="1" xfId="0" applyNumberFormat="1" applyFont="1" applyFill="1" applyBorder="1" applyAlignment="1">
      <alignment horizontal="center"/>
    </xf>
    <xf numFmtId="166" fontId="1" fillId="5" borderId="0" xfId="0" applyNumberFormat="1" applyFont="1" applyFill="1" applyAlignment="1">
      <alignment horizontal="center"/>
    </xf>
    <xf numFmtId="0" fontId="1" fillId="6" borderId="0" xfId="0" applyFont="1" applyFill="1"/>
    <xf numFmtId="0" fontId="1" fillId="8" borderId="0" xfId="0" applyFont="1" applyFill="1" applyAlignment="1">
      <alignment horizontal="center"/>
    </xf>
    <xf numFmtId="166" fontId="1" fillId="8" borderId="0" xfId="0" applyNumberFormat="1" applyFont="1" applyFill="1" applyAlignment="1">
      <alignment horizontal="center"/>
    </xf>
    <xf numFmtId="2" fontId="1" fillId="8" borderId="1" xfId="0" applyNumberFormat="1" applyFont="1" applyFill="1" applyBorder="1" applyAlignment="1">
      <alignment horizontal="center"/>
    </xf>
    <xf numFmtId="0" fontId="1" fillId="7" borderId="0" xfId="0" applyFont="1" applyFill="1"/>
    <xf numFmtId="0" fontId="1" fillId="6" borderId="0" xfId="0" applyFont="1" applyFill="1" applyAlignment="1">
      <alignment horizontal="center"/>
    </xf>
    <xf numFmtId="166" fontId="1" fillId="6" borderId="0" xfId="0" applyNumberFormat="1" applyFont="1" applyFill="1" applyAlignment="1">
      <alignment horizontal="center"/>
    </xf>
    <xf numFmtId="2" fontId="1" fillId="6" borderId="1" xfId="0" applyNumberFormat="1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/>
    </xf>
    <xf numFmtId="165" fontId="1" fillId="3" borderId="0" xfId="0" applyNumberFormat="1" applyFont="1" applyFill="1" applyAlignment="1">
      <alignment horizontal="center"/>
    </xf>
    <xf numFmtId="170" fontId="1" fillId="3" borderId="0" xfId="0" applyNumberFormat="1" applyFont="1" applyFill="1" applyAlignment="1">
      <alignment horizontal="center"/>
    </xf>
    <xf numFmtId="0" fontId="4" fillId="3" borderId="0" xfId="0" applyFont="1" applyFill="1"/>
    <xf numFmtId="0" fontId="1" fillId="3" borderId="0" xfId="0" applyFont="1" applyFill="1" applyAlignment="1">
      <alignment horizontal="left"/>
    </xf>
    <xf numFmtId="4" fontId="1" fillId="3" borderId="0" xfId="0" applyNumberFormat="1" applyFont="1" applyFill="1" applyAlignment="1">
      <alignment horizontal="center"/>
    </xf>
    <xf numFmtId="2" fontId="1" fillId="3" borderId="0" xfId="0" applyNumberFormat="1" applyFont="1" applyFill="1" applyAlignment="1">
      <alignment horizontal="center"/>
    </xf>
    <xf numFmtId="0" fontId="10" fillId="3" borderId="0" xfId="0" applyFont="1" applyFill="1"/>
    <xf numFmtId="0" fontId="3" fillId="3" borderId="0" xfId="0" applyFont="1" applyFill="1"/>
    <xf numFmtId="3" fontId="1" fillId="3" borderId="0" xfId="0" applyNumberFormat="1" applyFont="1" applyFill="1" applyAlignment="1">
      <alignment horizontal="center"/>
    </xf>
    <xf numFmtId="165" fontId="1" fillId="5" borderId="0" xfId="0" applyNumberFormat="1" applyFont="1" applyFill="1" applyAlignment="1">
      <alignment horizontal="center"/>
    </xf>
    <xf numFmtId="170" fontId="1" fillId="5" borderId="0" xfId="0" applyNumberFormat="1" applyFont="1" applyFill="1" applyAlignment="1">
      <alignment horizontal="center"/>
    </xf>
    <xf numFmtId="4" fontId="1" fillId="5" borderId="0" xfId="0" applyNumberFormat="1" applyFont="1" applyFill="1" applyAlignment="1">
      <alignment horizontal="center"/>
    </xf>
    <xf numFmtId="2" fontId="1" fillId="5" borderId="0" xfId="0" applyNumberFormat="1" applyFont="1" applyFill="1" applyAlignment="1">
      <alignment horizontal="center"/>
    </xf>
    <xf numFmtId="0" fontId="10" fillId="5" borderId="0" xfId="0" applyFont="1" applyFill="1"/>
    <xf numFmtId="0" fontId="3" fillId="5" borderId="0" xfId="0" applyFont="1" applyFill="1"/>
    <xf numFmtId="3" fontId="1" fillId="5" borderId="0" xfId="0" applyNumberFormat="1" applyFont="1" applyFill="1" applyAlignment="1">
      <alignment horizontal="center"/>
    </xf>
    <xf numFmtId="165" fontId="1" fillId="8" borderId="0" xfId="0" applyNumberFormat="1" applyFont="1" applyFill="1" applyAlignment="1">
      <alignment horizontal="center"/>
    </xf>
    <xf numFmtId="170" fontId="1" fillId="8" borderId="0" xfId="0" applyNumberFormat="1" applyFont="1" applyFill="1" applyAlignment="1">
      <alignment horizontal="center"/>
    </xf>
    <xf numFmtId="0" fontId="4" fillId="8" borderId="0" xfId="0" applyFont="1" applyFill="1"/>
    <xf numFmtId="0" fontId="1" fillId="8" borderId="0" xfId="0" applyFont="1" applyFill="1" applyAlignment="1">
      <alignment horizontal="left"/>
    </xf>
    <xf numFmtId="0" fontId="1" fillId="8" borderId="0" xfId="0" quotePrefix="1" applyFont="1" applyFill="1" applyAlignment="1">
      <alignment horizontal="center"/>
    </xf>
    <xf numFmtId="4" fontId="1" fillId="8" borderId="0" xfId="0" applyNumberFormat="1" applyFont="1" applyFill="1" applyAlignment="1">
      <alignment horizontal="center"/>
    </xf>
    <xf numFmtId="2" fontId="1" fillId="8" borderId="0" xfId="0" applyNumberFormat="1" applyFont="1" applyFill="1" applyAlignment="1">
      <alignment horizontal="center"/>
    </xf>
    <xf numFmtId="0" fontId="10" fillId="8" borderId="0" xfId="0" applyFont="1" applyFill="1"/>
    <xf numFmtId="0" fontId="3" fillId="8" borderId="0" xfId="0" applyFont="1" applyFill="1"/>
    <xf numFmtId="3" fontId="1" fillId="8" borderId="0" xfId="0" applyNumberFormat="1" applyFont="1" applyFill="1" applyAlignment="1">
      <alignment horizontal="center"/>
    </xf>
    <xf numFmtId="0" fontId="9" fillId="8" borderId="0" xfId="0" applyFont="1" applyFill="1"/>
    <xf numFmtId="0" fontId="1" fillId="7" borderId="0" xfId="0" applyFont="1" applyFill="1" applyAlignment="1">
      <alignment horizontal="center"/>
    </xf>
    <xf numFmtId="165" fontId="1" fillId="6" borderId="0" xfId="0" applyNumberFormat="1" applyFont="1" applyFill="1" applyAlignment="1">
      <alignment horizontal="center"/>
    </xf>
    <xf numFmtId="170" fontId="1" fillId="6" borderId="0" xfId="0" applyNumberFormat="1" applyFont="1" applyFill="1" applyAlignment="1">
      <alignment horizontal="center"/>
    </xf>
    <xf numFmtId="0" fontId="4" fillId="6" borderId="0" xfId="0" applyFont="1" applyFill="1"/>
    <xf numFmtId="0" fontId="1" fillId="6" borderId="0" xfId="0" applyFont="1" applyFill="1" applyAlignment="1">
      <alignment horizontal="left"/>
    </xf>
    <xf numFmtId="4" fontId="1" fillId="6" borderId="0" xfId="0" applyNumberFormat="1" applyFont="1" applyFill="1" applyAlignment="1">
      <alignment horizontal="center"/>
    </xf>
    <xf numFmtId="2" fontId="1" fillId="6" borderId="0" xfId="0" applyNumberFormat="1" applyFont="1" applyFill="1" applyAlignment="1">
      <alignment horizontal="center"/>
    </xf>
    <xf numFmtId="0" fontId="10" fillId="6" borderId="0" xfId="0" applyFont="1" applyFill="1"/>
    <xf numFmtId="0" fontId="3" fillId="6" borderId="0" xfId="0" applyFont="1" applyFill="1"/>
    <xf numFmtId="3" fontId="1" fillId="6" borderId="0" xfId="0" applyNumberFormat="1" applyFont="1" applyFill="1" applyAlignment="1">
      <alignment horizontal="center"/>
    </xf>
    <xf numFmtId="0" fontId="9" fillId="6" borderId="0" xfId="0" applyFont="1" applyFill="1"/>
    <xf numFmtId="165" fontId="1" fillId="7" borderId="0" xfId="0" applyNumberFormat="1" applyFont="1" applyFill="1" applyAlignment="1">
      <alignment horizontal="center"/>
    </xf>
    <xf numFmtId="0" fontId="1" fillId="9" borderId="0" xfId="0" applyFont="1" applyFill="1"/>
    <xf numFmtId="170" fontId="1" fillId="7" borderId="0" xfId="0" applyNumberFormat="1" applyFont="1" applyFill="1" applyAlignment="1">
      <alignment horizontal="center"/>
    </xf>
    <xf numFmtId="0" fontId="4" fillId="7" borderId="0" xfId="0" applyFont="1" applyFill="1"/>
    <xf numFmtId="0" fontId="1" fillId="7" borderId="0" xfId="0" applyFont="1" applyFill="1" applyAlignment="1">
      <alignment horizontal="left"/>
    </xf>
    <xf numFmtId="4" fontId="1" fillId="7" borderId="0" xfId="0" applyNumberFormat="1" applyFont="1" applyFill="1" applyAlignment="1">
      <alignment horizontal="center"/>
    </xf>
    <xf numFmtId="2" fontId="1" fillId="7" borderId="0" xfId="0" applyNumberFormat="1" applyFont="1" applyFill="1" applyAlignment="1">
      <alignment horizontal="center"/>
    </xf>
    <xf numFmtId="0" fontId="10" fillId="9" borderId="0" xfId="0" applyFont="1" applyFill="1"/>
    <xf numFmtId="0" fontId="3" fillId="7" borderId="0" xfId="0" applyFont="1" applyFill="1"/>
    <xf numFmtId="3" fontId="1" fillId="7" borderId="0" xfId="0" applyNumberFormat="1" applyFont="1" applyFill="1" applyAlignment="1">
      <alignment horizontal="center"/>
    </xf>
    <xf numFmtId="166" fontId="1" fillId="7" borderId="0" xfId="0" applyNumberFormat="1" applyFont="1" applyFill="1" applyAlignment="1">
      <alignment horizontal="center"/>
    </xf>
    <xf numFmtId="0" fontId="10" fillId="7" borderId="0" xfId="0" applyFont="1" applyFill="1"/>
    <xf numFmtId="0" fontId="9" fillId="7" borderId="0" xfId="0" applyFont="1" applyFill="1"/>
    <xf numFmtId="0" fontId="17" fillId="0" borderId="0" xfId="0" applyFont="1"/>
    <xf numFmtId="0" fontId="17" fillId="0" borderId="0" xfId="0" applyFont="1" applyAlignment="1">
      <alignment horizontal="left"/>
    </xf>
    <xf numFmtId="1" fontId="17" fillId="0" borderId="0" xfId="0" applyNumberFormat="1" applyFont="1" applyAlignment="1">
      <alignment horizontal="center"/>
    </xf>
    <xf numFmtId="0" fontId="9" fillId="10" borderId="1" xfId="0" applyFont="1" applyFill="1" applyBorder="1" applyAlignment="1">
      <alignment horizontal="center"/>
    </xf>
    <xf numFmtId="0" fontId="9" fillId="10" borderId="10" xfId="0" applyFont="1" applyFill="1" applyBorder="1" applyAlignment="1">
      <alignment horizontal="center"/>
    </xf>
    <xf numFmtId="169" fontId="1" fillId="3" borderId="0" xfId="0" applyNumberFormat="1" applyFont="1" applyFill="1" applyAlignment="1">
      <alignment horizontal="center"/>
    </xf>
    <xf numFmtId="0" fontId="0" fillId="0" borderId="0" xfId="0" applyAlignment="1">
      <alignment horizontal="center"/>
    </xf>
    <xf numFmtId="169" fontId="1" fillId="5" borderId="0" xfId="0" applyNumberFormat="1" applyFont="1" applyFill="1" applyAlignment="1">
      <alignment horizontal="center"/>
    </xf>
    <xf numFmtId="169" fontId="1" fillId="8" borderId="0" xfId="0" applyNumberFormat="1" applyFont="1" applyFill="1" applyAlignment="1">
      <alignment horizontal="center"/>
    </xf>
    <xf numFmtId="169" fontId="1" fillId="6" borderId="0" xfId="0" applyNumberFormat="1" applyFont="1" applyFill="1" applyAlignment="1">
      <alignment horizontal="center"/>
    </xf>
    <xf numFmtId="169" fontId="1" fillId="7" borderId="0" xfId="0" applyNumberFormat="1" applyFont="1" applyFill="1" applyAlignment="1">
      <alignment horizontal="center"/>
    </xf>
    <xf numFmtId="169" fontId="0" fillId="7" borderId="0" xfId="0" applyNumberFormat="1" applyFill="1" applyAlignment="1">
      <alignment horizontal="center"/>
    </xf>
    <xf numFmtId="169" fontId="1" fillId="2" borderId="1" xfId="0" applyNumberFormat="1" applyFont="1" applyFill="1" applyBorder="1" applyAlignment="1">
      <alignment horizontal="center"/>
    </xf>
    <xf numFmtId="169" fontId="0" fillId="0" borderId="1" xfId="0" applyNumberFormat="1" applyBorder="1"/>
    <xf numFmtId="169" fontId="0" fillId="5" borderId="0" xfId="0" applyNumberFormat="1" applyFill="1" applyAlignment="1">
      <alignment horizontal="center"/>
    </xf>
    <xf numFmtId="169" fontId="0" fillId="8" borderId="0" xfId="0" applyNumberFormat="1" applyFill="1" applyAlignment="1">
      <alignment horizontal="center"/>
    </xf>
    <xf numFmtId="169" fontId="0" fillId="6" borderId="0" xfId="0" applyNumberForma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1" fillId="0" borderId="5" xfId="0" applyFont="1" applyBorder="1" applyAlignment="1">
      <alignment horizontal="center"/>
    </xf>
    <xf numFmtId="0" fontId="0" fillId="0" borderId="6" xfId="0" applyBorder="1"/>
    <xf numFmtId="0" fontId="1" fillId="2" borderId="1" xfId="0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center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b="1" u="sng" baseline="0"/>
              <a:t>Whole Body I-131 Kinetics</a:t>
            </a:r>
            <a:endParaRPr lang="en-GB" b="1" u="sng"/>
          </a:p>
        </c:rich>
      </c:tx>
      <c:layout>
        <c:manualLayout>
          <c:xMode val="edge"/>
          <c:yMode val="edge"/>
          <c:x val="0.37111265958443868"/>
          <c:y val="1.368816404857419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9822761780299765E-2"/>
          <c:y val="7.9463019473364163E-2"/>
          <c:w val="0.87022524253224853"/>
          <c:h val="0.83406333970553381"/>
        </c:manualLayout>
      </c:layout>
      <c:scatterChart>
        <c:scatterStyle val="lineMarker"/>
        <c:varyColors val="0"/>
        <c:ser>
          <c:idx val="2"/>
          <c:order val="0"/>
          <c:tx>
            <c:v>Lung Safety Threshold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Pt>
            <c:idx val="0"/>
            <c:marker>
              <c:symbol val="x"/>
              <c:size val="10"/>
              <c:spPr>
                <a:noFill/>
                <a:ln w="38100">
                  <a:solidFill>
                    <a:srgbClr val="C0000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5-66B2-3D45-8928-86D0E0D3247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Theranostics!$L$31</c:f>
              <c:numCache>
                <c:formatCode>General</c:formatCode>
                <c:ptCount val="1"/>
                <c:pt idx="0">
                  <c:v>48</c:v>
                </c:pt>
              </c:numCache>
            </c:numRef>
          </c:xVal>
          <c:yVal>
            <c:numRef>
              <c:f>Theranostics!$L$32</c:f>
              <c:numCache>
                <c:formatCode>0.0</c:formatCode>
                <c:ptCount val="1"/>
                <c:pt idx="0">
                  <c:v>2.6876073619631899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6B2-3D45-8928-86D0E0D32478}"/>
            </c:ext>
          </c:extLst>
        </c:ser>
        <c:ser>
          <c:idx val="0"/>
          <c:order val="1"/>
          <c:tx>
            <c:v>First therapy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exp"/>
            <c:intercept val="3.76"/>
            <c:dispRSqr val="1"/>
            <c:dispEq val="1"/>
            <c:trendlineLbl>
              <c:layout>
                <c:manualLayout>
                  <c:x val="-0.11310482424010179"/>
                  <c:y val="-0.30454328150159399"/>
                </c:manualLayout>
              </c:layout>
              <c:numFmt formatCode="#,##0.0000000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6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Theranostics!$I$11:$M$11</c:f>
              <c:numCache>
                <c:formatCode>General</c:formatCode>
                <c:ptCount val="5"/>
                <c:pt idx="0">
                  <c:v>0</c:v>
                </c:pt>
                <c:pt idx="1">
                  <c:v>23</c:v>
                </c:pt>
                <c:pt idx="2">
                  <c:v>47</c:v>
                </c:pt>
                <c:pt idx="3">
                  <c:v>71</c:v>
                </c:pt>
                <c:pt idx="4">
                  <c:v>1680</c:v>
                </c:pt>
              </c:numCache>
            </c:numRef>
          </c:xVal>
          <c:yVal>
            <c:numRef>
              <c:f>Theranostics!$I$16:$M$16</c:f>
              <c:numCache>
                <c:formatCode>#,##0.00</c:formatCode>
                <c:ptCount val="5"/>
                <c:pt idx="0">
                  <c:v>3.76</c:v>
                </c:pt>
                <c:pt idx="1">
                  <c:v>1.9474871794871793</c:v>
                </c:pt>
                <c:pt idx="2">
                  <c:v>1.176205128205128</c:v>
                </c:pt>
                <c:pt idx="3">
                  <c:v>0.30851282051282047</c:v>
                </c:pt>
                <c:pt idx="4" formatCode="0.0E+00">
                  <c:v>9.9999999999999995E-21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66F1-1448-9E2D-8B22F3680D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02506767"/>
        <c:axId val="2102678895"/>
      </c:scatterChart>
      <c:valAx>
        <c:axId val="2102506767"/>
        <c:scaling>
          <c:orientation val="minMax"/>
          <c:max val="72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02678895"/>
        <c:crosses val="autoZero"/>
        <c:crossBetween val="midCat"/>
        <c:majorUnit val="12"/>
      </c:valAx>
      <c:valAx>
        <c:axId val="2102678895"/>
        <c:scaling>
          <c:orientation val="minMax"/>
          <c:max val="4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02506767"/>
        <c:crosses val="autoZero"/>
        <c:crossBetween val="midCat"/>
        <c:majorUnit val="0.5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jpg"/><Relationship Id="rId1" Type="http://schemas.openxmlformats.org/officeDocument/2006/relationships/chart" Target="../charts/chart1.xml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38428</xdr:colOff>
      <xdr:row>29</xdr:row>
      <xdr:rowOff>54428</xdr:rowOff>
    </xdr:from>
    <xdr:to>
      <xdr:col>5</xdr:col>
      <xdr:colOff>702734</xdr:colOff>
      <xdr:row>54</xdr:row>
      <xdr:rowOff>127000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10E0112-FC51-E64D-8CE3-D1903B6D1B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22680</xdr:colOff>
      <xdr:row>0</xdr:row>
      <xdr:rowOff>52692</xdr:rowOff>
    </xdr:from>
    <xdr:to>
      <xdr:col>5</xdr:col>
      <xdr:colOff>726528</xdr:colOff>
      <xdr:row>3</xdr:row>
      <xdr:rowOff>111881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378E940-1FA1-8F44-A7DD-A549945ECB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33775" y="52692"/>
          <a:ext cx="1465848" cy="585332"/>
        </a:xfrm>
        <a:prstGeom prst="rect">
          <a:avLst/>
        </a:prstGeom>
      </xdr:spPr>
    </xdr:pic>
    <xdr:clientData/>
  </xdr:twoCellAnchor>
  <xdr:twoCellAnchor editAs="oneCell">
    <xdr:from>
      <xdr:col>22</xdr:col>
      <xdr:colOff>9072</xdr:colOff>
      <xdr:row>40</xdr:row>
      <xdr:rowOff>27214</xdr:rowOff>
    </xdr:from>
    <xdr:to>
      <xdr:col>29</xdr:col>
      <xdr:colOff>480786</xdr:colOff>
      <xdr:row>49</xdr:row>
      <xdr:rowOff>62140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6A3DDBF1-9731-A253-2F59-65361D2882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85972" y="7190014"/>
          <a:ext cx="6021614" cy="1635126"/>
        </a:xfrm>
        <a:prstGeom prst="rect">
          <a:avLst/>
        </a:prstGeom>
      </xdr:spPr>
    </xdr:pic>
    <xdr:clientData/>
  </xdr:twoCellAnchor>
  <xdr:twoCellAnchor editAs="oneCell">
    <xdr:from>
      <xdr:col>14</xdr:col>
      <xdr:colOff>18143</xdr:colOff>
      <xdr:row>40</xdr:row>
      <xdr:rowOff>45357</xdr:rowOff>
    </xdr:from>
    <xdr:to>
      <xdr:col>22</xdr:col>
      <xdr:colOff>8611</xdr:colOff>
      <xdr:row>49</xdr:row>
      <xdr:rowOff>172357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4500B320-380B-D2BC-2079-4D9A5ED67E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64572" y="7338786"/>
          <a:ext cx="6041110" cy="1759857"/>
        </a:xfrm>
        <a:prstGeom prst="rect">
          <a:avLst/>
        </a:prstGeom>
      </xdr:spPr>
    </xdr:pic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0.00457</cdr:x>
      <cdr:y>0.28065</cdr:y>
    </cdr:from>
    <cdr:to>
      <cdr:x>0.04914</cdr:x>
      <cdr:y>0.77123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D6CB2231-5472-EE42-A92C-DF2EF1BC74A8}"/>
            </a:ext>
          </a:extLst>
        </cdr:cNvPr>
        <cdr:cNvSpPr txBox="1"/>
      </cdr:nvSpPr>
      <cdr:spPr>
        <a:xfrm xmlns:a="http://schemas.openxmlformats.org/drawingml/2006/main" rot="16200000">
          <a:off x="-1248833" y="2895604"/>
          <a:ext cx="2829279" cy="27516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GB" sz="1200"/>
            <a:t>Whole Body I-131 Activity (GBq)</a:t>
          </a:r>
        </a:p>
      </cdr:txBody>
    </cdr:sp>
  </cdr:relSizeAnchor>
  <cdr:relSizeAnchor xmlns:cdr="http://schemas.openxmlformats.org/drawingml/2006/chartDrawing">
    <cdr:from>
      <cdr:x>0.34857</cdr:x>
      <cdr:y>0.9453</cdr:y>
    </cdr:from>
    <cdr:to>
      <cdr:x>0.73143</cdr:x>
      <cdr:y>0.99301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C183223E-7ADE-4E4B-85FA-41EDD2F9504B}"/>
            </a:ext>
          </a:extLst>
        </cdr:cNvPr>
        <cdr:cNvSpPr txBox="1"/>
      </cdr:nvSpPr>
      <cdr:spPr>
        <a:xfrm xmlns:a="http://schemas.openxmlformats.org/drawingml/2006/main">
          <a:off x="2151945" y="5425062"/>
          <a:ext cx="2363612" cy="2738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1200"/>
            <a:t> Time since I-131 administration (h)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F83245-A3E4-704C-A739-7494E43D1452}">
  <dimension ref="A1:AT182"/>
  <sheetViews>
    <sheetView tabSelected="1" zoomScale="150" zoomScaleNormal="150" workbookViewId="0">
      <selection activeCell="D3" sqref="D3"/>
    </sheetView>
  </sheetViews>
  <sheetFormatPr baseColWidth="10" defaultRowHeight="14" x14ac:dyDescent="0.2"/>
  <cols>
    <col min="1" max="1" width="16.83203125" style="1" customWidth="1"/>
    <col min="2" max="2" width="25" style="1" customWidth="1"/>
    <col min="3" max="6" width="9.83203125" style="1" customWidth="1"/>
    <col min="7" max="7" width="13.83203125" style="1" customWidth="1"/>
    <col min="8" max="8" width="24.83203125" style="1" customWidth="1"/>
    <col min="9" max="14" width="6.83203125" style="1" customWidth="1"/>
    <col min="15" max="15" width="13.83203125" style="1" customWidth="1"/>
    <col min="16" max="16" width="24.83203125" style="1" customWidth="1"/>
    <col min="17" max="17" width="6.83203125" style="1" customWidth="1"/>
    <col min="18" max="20" width="6.83203125" style="4" customWidth="1"/>
    <col min="21" max="22" width="6.83203125" style="1" customWidth="1"/>
    <col min="23" max="23" width="13.83203125" style="1" customWidth="1"/>
    <col min="24" max="24" width="24.83203125" style="1" customWidth="1"/>
    <col min="25" max="30" width="6.83203125" style="1" customWidth="1"/>
    <col min="31" max="31" width="13.83203125" style="1" customWidth="1"/>
    <col min="32" max="32" width="24.83203125" style="1" customWidth="1"/>
    <col min="33" max="38" width="6.83203125" style="1" customWidth="1"/>
    <col min="39" max="39" width="13.83203125" style="1" customWidth="1"/>
    <col min="40" max="40" width="24.83203125" style="1" customWidth="1"/>
    <col min="41" max="46" width="6.83203125" style="1" customWidth="1"/>
    <col min="47" max="16384" width="10.83203125" style="1"/>
  </cols>
  <sheetData>
    <row r="1" spans="1:46" ht="14" customHeight="1" x14ac:dyDescent="0.2">
      <c r="A1" s="23" t="s">
        <v>114</v>
      </c>
    </row>
    <row r="2" spans="1:46" s="23" customFormat="1" ht="14" customHeight="1" x14ac:dyDescent="0.2">
      <c r="A2" s="23" t="s">
        <v>113</v>
      </c>
      <c r="B2" s="1"/>
      <c r="C2" s="1"/>
      <c r="D2" s="1"/>
      <c r="G2" s="7" t="s">
        <v>6</v>
      </c>
      <c r="H2" s="3">
        <v>44927</v>
      </c>
      <c r="I2" s="8"/>
      <c r="J2" s="70"/>
      <c r="K2" s="70"/>
      <c r="L2" s="99"/>
      <c r="M2" s="93" t="s">
        <v>78</v>
      </c>
      <c r="N2" s="94"/>
      <c r="O2" s="11" t="s">
        <v>6</v>
      </c>
      <c r="P2" s="3"/>
      <c r="Q2" s="12"/>
      <c r="R2" s="12"/>
      <c r="S2" s="102"/>
      <c r="T2" s="25"/>
      <c r="U2" s="26" t="s">
        <v>78</v>
      </c>
      <c r="V2" s="13"/>
      <c r="W2" s="109" t="s">
        <v>6</v>
      </c>
      <c r="X2" s="3"/>
      <c r="Y2" s="54"/>
      <c r="Z2" s="54"/>
      <c r="AA2" s="110"/>
      <c r="AB2" s="55"/>
      <c r="AC2" s="58" t="s">
        <v>78</v>
      </c>
      <c r="AD2" s="59"/>
      <c r="AE2" s="30" t="s">
        <v>6</v>
      </c>
      <c r="AF2" s="3"/>
      <c r="AG2" s="34"/>
      <c r="AH2" s="34"/>
      <c r="AI2" s="116"/>
      <c r="AJ2" s="35"/>
      <c r="AK2" s="37" t="s">
        <v>78</v>
      </c>
      <c r="AL2" s="38"/>
      <c r="AM2" s="121" t="s">
        <v>6</v>
      </c>
      <c r="AN2" s="3"/>
      <c r="AO2" s="46"/>
      <c r="AP2" s="46"/>
      <c r="AQ2" s="122"/>
      <c r="AR2" s="47"/>
      <c r="AS2" s="49" t="s">
        <v>78</v>
      </c>
      <c r="AT2" s="50"/>
    </row>
    <row r="3" spans="1:46" ht="14" customHeight="1" x14ac:dyDescent="0.2">
      <c r="A3" s="1" t="s">
        <v>49</v>
      </c>
      <c r="D3" s="4" t="s">
        <v>115</v>
      </c>
      <c r="G3" s="9" t="s">
        <v>23</v>
      </c>
      <c r="H3" s="146">
        <f>(H2-E6)/365.25</f>
        <v>20.999315537303218</v>
      </c>
      <c r="I3" s="129" t="s">
        <v>22</v>
      </c>
      <c r="J3" s="129"/>
      <c r="K3" s="129"/>
      <c r="L3" s="9" t="s">
        <v>8</v>
      </c>
      <c r="M3" s="2">
        <v>148</v>
      </c>
      <c r="N3" s="95" t="s">
        <v>9</v>
      </c>
      <c r="O3" s="14" t="s">
        <v>23</v>
      </c>
      <c r="P3" s="155">
        <f>(P2-E6)/365.25</f>
        <v>-102.00410677618069</v>
      </c>
      <c r="Q3" s="15" t="s">
        <v>22</v>
      </c>
      <c r="R3" s="15"/>
      <c r="S3" s="134"/>
      <c r="T3" s="14" t="s">
        <v>8</v>
      </c>
      <c r="U3" s="2"/>
      <c r="V3" s="103" t="s">
        <v>9</v>
      </c>
      <c r="W3" s="52" t="s">
        <v>23</v>
      </c>
      <c r="X3" s="162">
        <f>(X2-E6)/365.25</f>
        <v>-102.00410677618069</v>
      </c>
      <c r="Y3" s="133" t="s">
        <v>22</v>
      </c>
      <c r="Z3" s="133"/>
      <c r="AA3" s="133"/>
      <c r="AB3" s="52" t="s">
        <v>8</v>
      </c>
      <c r="AC3" s="2"/>
      <c r="AD3" s="57" t="s">
        <v>9</v>
      </c>
      <c r="AE3" s="31" t="s">
        <v>23</v>
      </c>
      <c r="AF3" s="174">
        <f>(AF2-E6)/365.25</f>
        <v>-102.00410677618069</v>
      </c>
      <c r="AG3" s="137" t="s">
        <v>22</v>
      </c>
      <c r="AH3" s="137"/>
      <c r="AI3" s="137"/>
      <c r="AJ3" s="31" t="s">
        <v>8</v>
      </c>
      <c r="AK3" s="2"/>
      <c r="AL3" s="39" t="s">
        <v>9</v>
      </c>
      <c r="AM3" s="44" t="s">
        <v>23</v>
      </c>
      <c r="AN3" s="184">
        <f>(AN2-E6)/365.25</f>
        <v>-102.00410677618069</v>
      </c>
      <c r="AO3" s="141" t="s">
        <v>22</v>
      </c>
      <c r="AP3" s="141"/>
      <c r="AQ3" s="185"/>
      <c r="AR3" s="44" t="s">
        <v>8</v>
      </c>
      <c r="AS3" s="2"/>
      <c r="AT3" s="51" t="s">
        <v>9</v>
      </c>
    </row>
    <row r="4" spans="1:46" ht="14" customHeight="1" x14ac:dyDescent="0.2">
      <c r="G4" s="9" t="s">
        <v>59</v>
      </c>
      <c r="H4" s="130" t="s">
        <v>52</v>
      </c>
      <c r="I4" s="129"/>
      <c r="J4" s="129"/>
      <c r="K4" s="129"/>
      <c r="L4" s="9" t="s">
        <v>10</v>
      </c>
      <c r="M4" s="2">
        <v>43</v>
      </c>
      <c r="N4" s="95" t="s">
        <v>11</v>
      </c>
      <c r="O4" s="14" t="s">
        <v>59</v>
      </c>
      <c r="P4" s="134" t="s">
        <v>53</v>
      </c>
      <c r="Q4" s="15"/>
      <c r="R4" s="15"/>
      <c r="S4" s="134"/>
      <c r="T4" s="14" t="s">
        <v>10</v>
      </c>
      <c r="U4" s="2"/>
      <c r="V4" s="103" t="s">
        <v>11</v>
      </c>
      <c r="W4" s="52" t="s">
        <v>59</v>
      </c>
      <c r="X4" s="138" t="s">
        <v>54</v>
      </c>
      <c r="Y4" s="133"/>
      <c r="Z4" s="133"/>
      <c r="AA4" s="133"/>
      <c r="AB4" s="52" t="s">
        <v>10</v>
      </c>
      <c r="AC4" s="2"/>
      <c r="AD4" s="57" t="s">
        <v>11</v>
      </c>
      <c r="AE4" s="31" t="s">
        <v>59</v>
      </c>
      <c r="AF4" s="142" t="s">
        <v>55</v>
      </c>
      <c r="AG4" s="137"/>
      <c r="AH4" s="137"/>
      <c r="AI4" s="137"/>
      <c r="AJ4" s="31" t="s">
        <v>10</v>
      </c>
      <c r="AK4" s="2"/>
      <c r="AL4" s="39" t="s">
        <v>11</v>
      </c>
      <c r="AM4" s="44" t="s">
        <v>59</v>
      </c>
      <c r="AN4" s="173" t="s">
        <v>56</v>
      </c>
      <c r="AO4" s="141"/>
      <c r="AP4" s="141"/>
      <c r="AQ4" s="185"/>
      <c r="AR4" s="44" t="s">
        <v>10</v>
      </c>
      <c r="AS4" s="2"/>
      <c r="AT4" s="51" t="s">
        <v>11</v>
      </c>
    </row>
    <row r="5" spans="1:46" ht="14" customHeight="1" x14ac:dyDescent="0.2">
      <c r="A5" s="4" t="s">
        <v>26</v>
      </c>
      <c r="B5" s="19">
        <v>44927</v>
      </c>
      <c r="C5" s="215" t="s">
        <v>87</v>
      </c>
      <c r="D5" s="216"/>
      <c r="E5" s="217">
        <v>123456</v>
      </c>
      <c r="F5" s="219"/>
      <c r="G5" s="9" t="s">
        <v>7</v>
      </c>
      <c r="H5" s="2" t="s">
        <v>91</v>
      </c>
      <c r="I5" s="129" t="s">
        <v>42</v>
      </c>
      <c r="J5" s="129"/>
      <c r="K5" s="129"/>
      <c r="L5" s="9" t="s">
        <v>20</v>
      </c>
      <c r="M5" s="147">
        <f>(31.9*M3)+(26.3*M4)-2402</f>
        <v>3450.1000000000004</v>
      </c>
      <c r="N5" s="95" t="s">
        <v>12</v>
      </c>
      <c r="O5" s="14" t="s">
        <v>7</v>
      </c>
      <c r="P5" s="2"/>
      <c r="Q5" s="15" t="s">
        <v>42</v>
      </c>
      <c r="R5" s="15"/>
      <c r="S5" s="134"/>
      <c r="T5" s="14" t="s">
        <v>20</v>
      </c>
      <c r="U5" s="156">
        <f>(31.9*U3)+(26.3*U4)-2402</f>
        <v>-2402</v>
      </c>
      <c r="V5" s="103" t="s">
        <v>12</v>
      </c>
      <c r="W5" s="52" t="s">
        <v>7</v>
      </c>
      <c r="X5" s="2"/>
      <c r="Y5" s="133" t="s">
        <v>42</v>
      </c>
      <c r="Z5" s="133"/>
      <c r="AA5" s="133"/>
      <c r="AB5" s="52" t="s">
        <v>20</v>
      </c>
      <c r="AC5" s="163">
        <f>(31.9*AC3)+(26.3*AC4)-2402</f>
        <v>-2402</v>
      </c>
      <c r="AD5" s="57" t="s">
        <v>12</v>
      </c>
      <c r="AE5" s="31" t="s">
        <v>7</v>
      </c>
      <c r="AF5" s="2"/>
      <c r="AG5" s="137" t="s">
        <v>42</v>
      </c>
      <c r="AH5" s="137"/>
      <c r="AI5" s="137"/>
      <c r="AJ5" s="31" t="s">
        <v>20</v>
      </c>
      <c r="AK5" s="175">
        <f>(31.9*AK3)+(26.3*AK4)-2402</f>
        <v>-2402</v>
      </c>
      <c r="AL5" s="39" t="s">
        <v>12</v>
      </c>
      <c r="AM5" s="44" t="s">
        <v>7</v>
      </c>
      <c r="AN5" s="2"/>
      <c r="AO5" s="141" t="s">
        <v>42</v>
      </c>
      <c r="AP5" s="141"/>
      <c r="AQ5" s="185"/>
      <c r="AR5" s="44" t="s">
        <v>20</v>
      </c>
      <c r="AS5" s="186">
        <f>(31.9*AS3)+(26.3*AS4)-2402</f>
        <v>-2402</v>
      </c>
      <c r="AT5" s="51" t="s">
        <v>12</v>
      </c>
    </row>
    <row r="6" spans="1:46" ht="14" customHeight="1" x14ac:dyDescent="0.2">
      <c r="A6" s="4" t="s">
        <v>5</v>
      </c>
      <c r="B6" s="2" t="s">
        <v>88</v>
      </c>
      <c r="C6" s="215" t="s">
        <v>24</v>
      </c>
      <c r="D6" s="216"/>
      <c r="E6" s="218">
        <v>37257</v>
      </c>
      <c r="F6" s="219"/>
      <c r="G6" s="9" t="s">
        <v>13</v>
      </c>
      <c r="H6" s="2">
        <v>3.76</v>
      </c>
      <c r="I6" s="129" t="s">
        <v>44</v>
      </c>
      <c r="J6" s="129"/>
      <c r="K6" s="129"/>
      <c r="L6" s="9" t="s">
        <v>21</v>
      </c>
      <c r="M6" s="147">
        <f>(56.9*M3)+(14.1*M4)-6460</f>
        <v>2567.4999999999982</v>
      </c>
      <c r="N6" s="95" t="s">
        <v>12</v>
      </c>
      <c r="O6" s="14" t="s">
        <v>13</v>
      </c>
      <c r="P6" s="2"/>
      <c r="Q6" s="15" t="s">
        <v>44</v>
      </c>
      <c r="R6" s="15"/>
      <c r="S6" s="134"/>
      <c r="T6" s="14" t="s">
        <v>21</v>
      </c>
      <c r="U6" s="156">
        <f>(56.9*U3)+(14.1*U4)-6460</f>
        <v>-6460</v>
      </c>
      <c r="V6" s="103" t="s">
        <v>12</v>
      </c>
      <c r="W6" s="52" t="s">
        <v>13</v>
      </c>
      <c r="X6" s="2"/>
      <c r="Y6" s="133" t="s">
        <v>44</v>
      </c>
      <c r="Z6" s="133"/>
      <c r="AA6" s="133"/>
      <c r="AB6" s="52" t="s">
        <v>21</v>
      </c>
      <c r="AC6" s="163">
        <f>(56.9*AC3)+(14.1*AC4)-6460</f>
        <v>-6460</v>
      </c>
      <c r="AD6" s="57" t="s">
        <v>12</v>
      </c>
      <c r="AE6" s="31" t="s">
        <v>13</v>
      </c>
      <c r="AF6" s="2"/>
      <c r="AG6" s="137" t="s">
        <v>44</v>
      </c>
      <c r="AH6" s="137"/>
      <c r="AI6" s="137"/>
      <c r="AJ6" s="31" t="s">
        <v>21</v>
      </c>
      <c r="AK6" s="175">
        <f>(56.9*AK3)+(14.1*AK4)-6460</f>
        <v>-6460</v>
      </c>
      <c r="AL6" s="39" t="s">
        <v>12</v>
      </c>
      <c r="AM6" s="44" t="s">
        <v>13</v>
      </c>
      <c r="AN6" s="2"/>
      <c r="AO6" s="141" t="s">
        <v>44</v>
      </c>
      <c r="AP6" s="141"/>
      <c r="AQ6" s="185"/>
      <c r="AR6" s="44" t="s">
        <v>21</v>
      </c>
      <c r="AS6" s="186">
        <f>(56.9*AS3)+(14.1*AS4)-6460</f>
        <v>-6460</v>
      </c>
      <c r="AT6" s="51" t="s">
        <v>12</v>
      </c>
    </row>
    <row r="7" spans="1:46" ht="14" customHeight="1" x14ac:dyDescent="0.2">
      <c r="A7" s="4" t="s">
        <v>4</v>
      </c>
      <c r="B7" s="2" t="s">
        <v>43</v>
      </c>
      <c r="C7" s="215" t="s">
        <v>35</v>
      </c>
      <c r="D7" s="216"/>
      <c r="E7" s="217" t="s">
        <v>90</v>
      </c>
      <c r="F7" s="219"/>
      <c r="G7" s="10"/>
      <c r="H7" s="129"/>
      <c r="I7" s="129"/>
      <c r="J7" s="129"/>
      <c r="K7" s="129"/>
      <c r="L7" s="100" t="s">
        <v>81</v>
      </c>
      <c r="M7" s="101">
        <f>IF(E7="Male",M5,M6)</f>
        <v>2567.4999999999982</v>
      </c>
      <c r="N7" s="98" t="s">
        <v>12</v>
      </c>
      <c r="O7" s="16"/>
      <c r="P7" s="15"/>
      <c r="Q7" s="134"/>
      <c r="R7" s="15"/>
      <c r="S7" s="134"/>
      <c r="T7" s="27" t="s">
        <v>81</v>
      </c>
      <c r="U7" s="74">
        <f>IF(E7="Male",U5,U6)</f>
        <v>-6460</v>
      </c>
      <c r="V7" s="104" t="s">
        <v>12</v>
      </c>
      <c r="W7" s="111"/>
      <c r="X7" s="133"/>
      <c r="Y7" s="138"/>
      <c r="Z7" s="133"/>
      <c r="AA7" s="133"/>
      <c r="AB7" s="56" t="s">
        <v>81</v>
      </c>
      <c r="AC7" s="75">
        <f>IF(E7="Male",AC5,AC6)</f>
        <v>-6460</v>
      </c>
      <c r="AD7" s="115" t="s">
        <v>12</v>
      </c>
      <c r="AE7" s="32"/>
      <c r="AF7" s="137"/>
      <c r="AG7" s="142"/>
      <c r="AH7" s="137"/>
      <c r="AI7" s="137"/>
      <c r="AJ7" s="36" t="s">
        <v>81</v>
      </c>
      <c r="AK7" s="76">
        <f>IF(E7="Male",AK5,AK6)</f>
        <v>-6460</v>
      </c>
      <c r="AL7" s="117" t="s">
        <v>12</v>
      </c>
      <c r="AM7" s="123"/>
      <c r="AN7" s="141"/>
      <c r="AO7" s="173"/>
      <c r="AP7" s="141"/>
      <c r="AQ7" s="185"/>
      <c r="AR7" s="48" t="s">
        <v>81</v>
      </c>
      <c r="AS7" s="77">
        <f>IF(E7="Male",AS5,AS6)</f>
        <v>-6460</v>
      </c>
      <c r="AT7" s="124" t="s">
        <v>12</v>
      </c>
    </row>
    <row r="8" spans="1:46" ht="14" customHeight="1" x14ac:dyDescent="0.2">
      <c r="G8" s="10"/>
      <c r="H8" s="148" t="s">
        <v>64</v>
      </c>
      <c r="I8" s="129"/>
      <c r="J8" s="129"/>
      <c r="K8" s="129"/>
      <c r="L8" s="129"/>
      <c r="M8" s="129"/>
      <c r="N8" s="95"/>
      <c r="O8" s="16"/>
      <c r="P8" s="78" t="s">
        <v>64</v>
      </c>
      <c r="Q8" s="15"/>
      <c r="R8" s="15"/>
      <c r="S8" s="15"/>
      <c r="T8" s="134"/>
      <c r="U8" s="15"/>
      <c r="V8" s="103"/>
      <c r="W8" s="111"/>
      <c r="X8" s="164" t="s">
        <v>64</v>
      </c>
      <c r="Y8" s="133"/>
      <c r="Z8" s="133"/>
      <c r="AA8" s="133"/>
      <c r="AB8" s="133"/>
      <c r="AC8" s="133"/>
      <c r="AD8" s="57"/>
      <c r="AE8" s="32"/>
      <c r="AF8" s="176" t="s">
        <v>64</v>
      </c>
      <c r="AG8" s="137"/>
      <c r="AH8" s="137"/>
      <c r="AI8" s="137"/>
      <c r="AJ8" s="137"/>
      <c r="AK8" s="137"/>
      <c r="AL8" s="39"/>
      <c r="AM8" s="123"/>
      <c r="AN8" s="187" t="s">
        <v>64</v>
      </c>
      <c r="AO8" s="141"/>
      <c r="AP8" s="141"/>
      <c r="AQ8" s="141"/>
      <c r="AR8" s="141"/>
      <c r="AS8" s="141"/>
      <c r="AT8" s="51"/>
    </row>
    <row r="9" spans="1:46" ht="14" customHeight="1" x14ac:dyDescent="0.2">
      <c r="A9" s="5" t="s">
        <v>97</v>
      </c>
      <c r="C9" s="21">
        <v>2</v>
      </c>
      <c r="D9" s="5" t="s">
        <v>19</v>
      </c>
      <c r="E9" s="1" t="s">
        <v>94</v>
      </c>
      <c r="G9" s="10"/>
      <c r="H9" s="149" t="s">
        <v>63</v>
      </c>
      <c r="I9" s="129"/>
      <c r="J9" s="129"/>
      <c r="K9" s="6">
        <v>16</v>
      </c>
      <c r="L9" s="129" t="s">
        <v>92</v>
      </c>
      <c r="M9" s="129"/>
      <c r="N9" s="95"/>
      <c r="O9" s="16"/>
      <c r="P9" s="24" t="s">
        <v>63</v>
      </c>
      <c r="Q9" s="15"/>
      <c r="R9" s="15"/>
      <c r="S9" s="6"/>
      <c r="T9" s="24" t="s">
        <v>92</v>
      </c>
      <c r="U9" s="15"/>
      <c r="V9" s="103"/>
      <c r="W9" s="111"/>
      <c r="X9" s="165" t="s">
        <v>63</v>
      </c>
      <c r="Y9" s="133"/>
      <c r="Z9" s="133"/>
      <c r="AA9" s="6"/>
      <c r="AB9" s="133" t="s">
        <v>92</v>
      </c>
      <c r="AC9" s="133"/>
      <c r="AD9" s="57"/>
      <c r="AE9" s="32"/>
      <c r="AF9" s="177" t="s">
        <v>63</v>
      </c>
      <c r="AG9" s="137"/>
      <c r="AH9" s="137"/>
      <c r="AI9" s="6"/>
      <c r="AJ9" s="137" t="s">
        <v>92</v>
      </c>
      <c r="AK9" s="137"/>
      <c r="AL9" s="39"/>
      <c r="AM9" s="123"/>
      <c r="AN9" s="188" t="s">
        <v>63</v>
      </c>
      <c r="AO9" s="141"/>
      <c r="AP9" s="141"/>
      <c r="AQ9" s="6"/>
      <c r="AR9" s="141" t="s">
        <v>92</v>
      </c>
      <c r="AS9" s="141"/>
      <c r="AT9" s="51"/>
    </row>
    <row r="10" spans="1:46" ht="14" customHeight="1" x14ac:dyDescent="0.2">
      <c r="A10" s="1" t="s">
        <v>96</v>
      </c>
      <c r="C10" s="18">
        <v>0.26500000000000001</v>
      </c>
      <c r="D10" s="1" t="s">
        <v>95</v>
      </c>
      <c r="E10" s="1" t="s">
        <v>41</v>
      </c>
      <c r="G10" s="10"/>
      <c r="H10" s="129"/>
      <c r="I10" s="129"/>
      <c r="J10" s="129"/>
      <c r="K10" s="129"/>
      <c r="L10" s="129"/>
      <c r="M10" s="129"/>
      <c r="N10" s="95"/>
      <c r="O10" s="16"/>
      <c r="P10" s="15"/>
      <c r="Q10" s="15"/>
      <c r="R10" s="15"/>
      <c r="S10" s="15"/>
      <c r="T10" s="15"/>
      <c r="U10" s="15"/>
      <c r="V10" s="103"/>
      <c r="W10" s="111"/>
      <c r="X10" s="133"/>
      <c r="Y10" s="133"/>
      <c r="Z10" s="133"/>
      <c r="AA10" s="133"/>
      <c r="AB10" s="133"/>
      <c r="AC10" s="133"/>
      <c r="AD10" s="57"/>
      <c r="AE10" s="32"/>
      <c r="AF10" s="137"/>
      <c r="AG10" s="137"/>
      <c r="AH10" s="137"/>
      <c r="AI10" s="137"/>
      <c r="AJ10" s="137"/>
      <c r="AK10" s="137"/>
      <c r="AL10" s="39"/>
      <c r="AM10" s="123"/>
      <c r="AN10" s="141"/>
      <c r="AO10" s="141"/>
      <c r="AP10" s="141"/>
      <c r="AQ10" s="141"/>
      <c r="AR10" s="141"/>
      <c r="AS10" s="141"/>
      <c r="AT10" s="51"/>
    </row>
    <row r="11" spans="1:46" ht="14" customHeight="1" x14ac:dyDescent="0.2">
      <c r="A11" s="1" t="s">
        <v>46</v>
      </c>
      <c r="C11" s="22">
        <f>H6+P6+X6+AF6+AN6</f>
        <v>3.76</v>
      </c>
      <c r="D11" s="1" t="s">
        <v>44</v>
      </c>
      <c r="F11" s="197"/>
      <c r="G11" s="9" t="s">
        <v>0</v>
      </c>
      <c r="H11" s="129" t="s">
        <v>14</v>
      </c>
      <c r="I11" s="130">
        <v>0</v>
      </c>
      <c r="J11" s="2">
        <v>23</v>
      </c>
      <c r="K11" s="2">
        <v>47</v>
      </c>
      <c r="L11" s="2">
        <v>71</v>
      </c>
      <c r="M11" s="130">
        <v>1680</v>
      </c>
      <c r="N11" s="96"/>
      <c r="O11" s="14" t="s">
        <v>0</v>
      </c>
      <c r="P11" s="15" t="s">
        <v>14</v>
      </c>
      <c r="Q11" s="134">
        <v>0</v>
      </c>
      <c r="R11" s="2"/>
      <c r="S11" s="2"/>
      <c r="T11" s="2"/>
      <c r="U11" s="134">
        <v>1680</v>
      </c>
      <c r="V11" s="105"/>
      <c r="W11" s="52" t="s">
        <v>0</v>
      </c>
      <c r="X11" s="133" t="s">
        <v>14</v>
      </c>
      <c r="Y11" s="138">
        <v>0</v>
      </c>
      <c r="Z11" s="2"/>
      <c r="AA11" s="2"/>
      <c r="AB11" s="2"/>
      <c r="AC11" s="138">
        <v>1680</v>
      </c>
      <c r="AD11" s="112"/>
      <c r="AE11" s="31" t="s">
        <v>0</v>
      </c>
      <c r="AF11" s="137" t="s">
        <v>14</v>
      </c>
      <c r="AG11" s="142">
        <v>0</v>
      </c>
      <c r="AH11" s="200"/>
      <c r="AI11" s="201"/>
      <c r="AJ11" s="201"/>
      <c r="AK11" s="142">
        <v>1680</v>
      </c>
      <c r="AL11" s="118"/>
      <c r="AM11" s="44" t="s">
        <v>0</v>
      </c>
      <c r="AN11" s="141" t="s">
        <v>14</v>
      </c>
      <c r="AO11" s="173">
        <v>0</v>
      </c>
      <c r="AP11" s="200"/>
      <c r="AQ11" s="201"/>
      <c r="AR11" s="201"/>
      <c r="AS11" s="173">
        <v>1680</v>
      </c>
      <c r="AT11" s="125"/>
    </row>
    <row r="12" spans="1:46" ht="14" customHeight="1" x14ac:dyDescent="0.2">
      <c r="A12" s="1" t="s">
        <v>47</v>
      </c>
      <c r="C12" s="18">
        <f>I27+Q27+Y27+AG27+AO27</f>
        <v>0.8352363680776772</v>
      </c>
      <c r="D12" s="1" t="s">
        <v>19</v>
      </c>
      <c r="G12" s="9"/>
      <c r="H12" s="129" t="s">
        <v>28</v>
      </c>
      <c r="I12" s="130"/>
      <c r="J12" s="130"/>
      <c r="K12" s="130"/>
      <c r="L12" s="130"/>
      <c r="M12" s="130" t="s">
        <v>58</v>
      </c>
      <c r="N12" s="96"/>
      <c r="O12" s="14"/>
      <c r="P12" s="15" t="s">
        <v>28</v>
      </c>
      <c r="Q12" s="134"/>
      <c r="R12" s="134"/>
      <c r="S12" s="134"/>
      <c r="T12" s="134"/>
      <c r="U12" s="134" t="s">
        <v>58</v>
      </c>
      <c r="V12" s="105"/>
      <c r="W12" s="52"/>
      <c r="X12" s="133" t="s">
        <v>28</v>
      </c>
      <c r="Y12" s="138"/>
      <c r="Z12" s="166" t="s">
        <v>27</v>
      </c>
      <c r="AA12" s="138"/>
      <c r="AB12" s="138"/>
      <c r="AC12" s="138" t="s">
        <v>58</v>
      </c>
      <c r="AD12" s="112"/>
      <c r="AE12" s="31"/>
      <c r="AF12" s="137" t="s">
        <v>28</v>
      </c>
      <c r="AG12" s="142"/>
      <c r="AH12" s="142"/>
      <c r="AI12" s="142"/>
      <c r="AJ12" s="142"/>
      <c r="AK12" s="142" t="s">
        <v>34</v>
      </c>
      <c r="AL12" s="118"/>
      <c r="AM12" s="44"/>
      <c r="AN12" s="141" t="s">
        <v>28</v>
      </c>
      <c r="AO12" s="173"/>
      <c r="AP12" s="173"/>
      <c r="AQ12" s="173"/>
      <c r="AR12" s="173"/>
      <c r="AS12" s="173" t="s">
        <v>34</v>
      </c>
      <c r="AT12" s="125"/>
    </row>
    <row r="13" spans="1:46" ht="14" customHeight="1" x14ac:dyDescent="0.2">
      <c r="A13" s="1" t="s">
        <v>75</v>
      </c>
      <c r="C13" s="2" t="s">
        <v>86</v>
      </c>
      <c r="D13" s="1" t="s">
        <v>79</v>
      </c>
      <c r="G13" s="9"/>
      <c r="H13" s="129" t="s">
        <v>2</v>
      </c>
      <c r="I13" s="69">
        <v>1.04</v>
      </c>
      <c r="J13" s="69">
        <v>0.47</v>
      </c>
      <c r="K13" s="69">
        <v>0.3</v>
      </c>
      <c r="L13" s="64">
        <v>7.0000000000000007E-2</v>
      </c>
      <c r="M13" s="129"/>
      <c r="N13" s="95"/>
      <c r="O13" s="14"/>
      <c r="P13" s="15" t="s">
        <v>2</v>
      </c>
      <c r="Q13" s="69"/>
      <c r="R13" s="69"/>
      <c r="S13" s="69"/>
      <c r="T13" s="64"/>
      <c r="U13" s="15"/>
      <c r="V13" s="103"/>
      <c r="W13" s="52"/>
      <c r="X13" s="133" t="s">
        <v>2</v>
      </c>
      <c r="Y13" s="69"/>
      <c r="Z13" s="69"/>
      <c r="AA13" s="69"/>
      <c r="AB13" s="64"/>
      <c r="AC13" s="133"/>
      <c r="AD13" s="57"/>
      <c r="AE13" s="31"/>
      <c r="AF13" s="137" t="s">
        <v>2</v>
      </c>
      <c r="AG13" s="69"/>
      <c r="AH13" s="69"/>
      <c r="AI13" s="69"/>
      <c r="AJ13" s="64"/>
      <c r="AK13" s="137"/>
      <c r="AL13" s="39"/>
      <c r="AM13" s="44"/>
      <c r="AN13" s="141" t="s">
        <v>2</v>
      </c>
      <c r="AO13" s="69"/>
      <c r="AP13" s="69"/>
      <c r="AQ13" s="69"/>
      <c r="AR13" s="64"/>
      <c r="AS13" s="141"/>
      <c r="AT13" s="51"/>
    </row>
    <row r="14" spans="1:46" ht="14" customHeight="1" x14ac:dyDescent="0.2">
      <c r="A14" s="1" t="s">
        <v>45</v>
      </c>
      <c r="C14" s="18">
        <f>C9-C12</f>
        <v>1.1647636319223227</v>
      </c>
      <c r="D14" s="5" t="s">
        <v>19</v>
      </c>
      <c r="G14" s="9"/>
      <c r="H14" s="129" t="s">
        <v>3</v>
      </c>
      <c r="I14" s="69">
        <v>0.91</v>
      </c>
      <c r="J14" s="69">
        <v>0.54</v>
      </c>
      <c r="K14" s="69">
        <v>0.31</v>
      </c>
      <c r="L14" s="64">
        <v>0.09</v>
      </c>
      <c r="M14" s="129"/>
      <c r="N14" s="95"/>
      <c r="O14" s="14"/>
      <c r="P14" s="15" t="s">
        <v>3</v>
      </c>
      <c r="Q14" s="69"/>
      <c r="R14" s="69"/>
      <c r="S14" s="69"/>
      <c r="T14" s="64"/>
      <c r="U14" s="15"/>
      <c r="V14" s="103"/>
      <c r="W14" s="52"/>
      <c r="X14" s="133" t="s">
        <v>3</v>
      </c>
      <c r="Y14" s="69"/>
      <c r="Z14" s="69"/>
      <c r="AA14" s="69"/>
      <c r="AB14" s="64"/>
      <c r="AC14" s="133"/>
      <c r="AD14" s="57"/>
      <c r="AE14" s="31"/>
      <c r="AF14" s="137" t="s">
        <v>3</v>
      </c>
      <c r="AG14" s="69"/>
      <c r="AH14" s="69"/>
      <c r="AI14" s="69"/>
      <c r="AJ14" s="64"/>
      <c r="AK14" s="137"/>
      <c r="AL14" s="39"/>
      <c r="AM14" s="44"/>
      <c r="AN14" s="141" t="s">
        <v>3</v>
      </c>
      <c r="AO14" s="69"/>
      <c r="AP14" s="69"/>
      <c r="AQ14" s="69"/>
      <c r="AR14" s="64"/>
      <c r="AS14" s="141"/>
      <c r="AT14" s="51"/>
    </row>
    <row r="15" spans="1:46" ht="14" customHeight="1" x14ac:dyDescent="0.2">
      <c r="A15" s="1" t="s">
        <v>102</v>
      </c>
      <c r="C15" s="6">
        <v>28</v>
      </c>
      <c r="D15" s="1" t="s">
        <v>15</v>
      </c>
      <c r="G15" s="9"/>
      <c r="H15" s="129" t="s">
        <v>29</v>
      </c>
      <c r="I15" s="150">
        <f>AVERAGE(I13:I14)</f>
        <v>0.97500000000000009</v>
      </c>
      <c r="J15" s="150">
        <f t="shared" ref="J15:L15" si="0">AVERAGE(J13:J14)</f>
        <v>0.505</v>
      </c>
      <c r="K15" s="150">
        <f t="shared" si="0"/>
        <v>0.30499999999999999</v>
      </c>
      <c r="L15" s="150">
        <f t="shared" si="0"/>
        <v>0.08</v>
      </c>
      <c r="M15" s="129"/>
      <c r="N15" s="95"/>
      <c r="O15" s="14"/>
      <c r="P15" s="15" t="s">
        <v>29</v>
      </c>
      <c r="Q15" s="157" t="e">
        <f>AVERAGE(Q13:Q14)</f>
        <v>#DIV/0!</v>
      </c>
      <c r="R15" s="157" t="e">
        <f t="shared" ref="R15:T15" si="1">AVERAGE(R13:R14)</f>
        <v>#DIV/0!</v>
      </c>
      <c r="S15" s="157" t="e">
        <f t="shared" si="1"/>
        <v>#DIV/0!</v>
      </c>
      <c r="T15" s="157" t="e">
        <f t="shared" si="1"/>
        <v>#DIV/0!</v>
      </c>
      <c r="U15" s="15"/>
      <c r="V15" s="103"/>
      <c r="W15" s="52"/>
      <c r="X15" s="133" t="s">
        <v>29</v>
      </c>
      <c r="Y15" s="167" t="e">
        <f>AVERAGE(Y13:Y14)</f>
        <v>#DIV/0!</v>
      </c>
      <c r="Z15" s="167" t="e">
        <f t="shared" ref="Z15:AB15" si="2">AVERAGE(Z13:Z14)</f>
        <v>#DIV/0!</v>
      </c>
      <c r="AA15" s="167" t="e">
        <f t="shared" si="2"/>
        <v>#DIV/0!</v>
      </c>
      <c r="AB15" s="167" t="e">
        <f t="shared" si="2"/>
        <v>#DIV/0!</v>
      </c>
      <c r="AC15" s="133"/>
      <c r="AD15" s="57"/>
      <c r="AE15" s="31"/>
      <c r="AF15" s="137" t="s">
        <v>29</v>
      </c>
      <c r="AG15" s="178" t="e">
        <f>AVERAGE(AG13:AG14)</f>
        <v>#DIV/0!</v>
      </c>
      <c r="AH15" s="178" t="e">
        <f t="shared" ref="AH15:AJ15" si="3">AVERAGE(AH13:AH14)</f>
        <v>#DIV/0!</v>
      </c>
      <c r="AI15" s="178" t="e">
        <f t="shared" si="3"/>
        <v>#DIV/0!</v>
      </c>
      <c r="AJ15" s="178" t="e">
        <f t="shared" si="3"/>
        <v>#DIV/0!</v>
      </c>
      <c r="AK15" s="137"/>
      <c r="AL15" s="39"/>
      <c r="AM15" s="44"/>
      <c r="AN15" s="141" t="s">
        <v>29</v>
      </c>
      <c r="AO15" s="189" t="e">
        <f>AVERAGE(AO13:AO14)</f>
        <v>#DIV/0!</v>
      </c>
      <c r="AP15" s="189" t="e">
        <f t="shared" ref="AP15:AR15" si="4">AVERAGE(AP13:AP14)</f>
        <v>#DIV/0!</v>
      </c>
      <c r="AQ15" s="189" t="e">
        <f t="shared" si="4"/>
        <v>#DIV/0!</v>
      </c>
      <c r="AR15" s="189" t="e">
        <f t="shared" si="4"/>
        <v>#DIV/0!</v>
      </c>
      <c r="AS15" s="141"/>
      <c r="AT15" s="51"/>
    </row>
    <row r="16" spans="1:46" ht="14" customHeight="1" x14ac:dyDescent="0.2">
      <c r="A16" s="5" t="s">
        <v>89</v>
      </c>
      <c r="C16" s="2">
        <v>15</v>
      </c>
      <c r="D16" s="1" t="s">
        <v>16</v>
      </c>
      <c r="G16" s="9" t="s">
        <v>1</v>
      </c>
      <c r="H16" s="129" t="s">
        <v>125</v>
      </c>
      <c r="I16" s="150">
        <f>H6</f>
        <v>3.76</v>
      </c>
      <c r="J16" s="150">
        <f>$I$17*J15</f>
        <v>1.9474871794871793</v>
      </c>
      <c r="K16" s="150">
        <f>$I$17*K15</f>
        <v>1.176205128205128</v>
      </c>
      <c r="L16" s="150">
        <f>$I$17*L15</f>
        <v>0.30851282051282047</v>
      </c>
      <c r="M16" s="73">
        <v>9.9999999999999995E-21</v>
      </c>
      <c r="N16" s="97"/>
      <c r="O16" s="14" t="s">
        <v>1</v>
      </c>
      <c r="P16" s="15" t="s">
        <v>125</v>
      </c>
      <c r="Q16" s="157">
        <f>P6</f>
        <v>0</v>
      </c>
      <c r="R16" s="157" t="e">
        <f>$Q$17*R15</f>
        <v>#DIV/0!</v>
      </c>
      <c r="S16" s="157" t="e">
        <f>$Q$17*S15</f>
        <v>#DIV/0!</v>
      </c>
      <c r="T16" s="157" t="e">
        <f>$Q$17*T15</f>
        <v>#DIV/0!</v>
      </c>
      <c r="U16" s="73"/>
      <c r="V16" s="106"/>
      <c r="W16" s="52" t="s">
        <v>1</v>
      </c>
      <c r="X16" s="133" t="s">
        <v>125</v>
      </c>
      <c r="Y16" s="167">
        <f>X6</f>
        <v>0</v>
      </c>
      <c r="Z16" s="167" t="e">
        <f>$Y$17*Z15</f>
        <v>#DIV/0!</v>
      </c>
      <c r="AA16" s="167" t="e">
        <f>$Y$17*AA15</f>
        <v>#DIV/0!</v>
      </c>
      <c r="AB16" s="167" t="e">
        <f>$Y$17*AB15</f>
        <v>#DIV/0!</v>
      </c>
      <c r="AC16" s="73"/>
      <c r="AD16" s="113"/>
      <c r="AE16" s="31" t="s">
        <v>1</v>
      </c>
      <c r="AF16" s="137" t="s">
        <v>125</v>
      </c>
      <c r="AG16" s="178">
        <f>AF6</f>
        <v>0</v>
      </c>
      <c r="AH16" s="178" t="e">
        <f>$AG$17*AH15</f>
        <v>#DIV/0!</v>
      </c>
      <c r="AI16" s="178" t="e">
        <f>$AG$17*AI15</f>
        <v>#DIV/0!</v>
      </c>
      <c r="AJ16" s="178" t="e">
        <f>$AG$17*AJ15</f>
        <v>#DIV/0!</v>
      </c>
      <c r="AK16" s="73"/>
      <c r="AL16" s="119"/>
      <c r="AM16" s="44" t="s">
        <v>1</v>
      </c>
      <c r="AN16" s="141" t="s">
        <v>125</v>
      </c>
      <c r="AO16" s="189">
        <f>AN6</f>
        <v>0</v>
      </c>
      <c r="AP16" s="189" t="e">
        <f>$AO$17*AP15</f>
        <v>#DIV/0!</v>
      </c>
      <c r="AQ16" s="189" t="e">
        <f>$AO$17*AQ15</f>
        <v>#DIV/0!</v>
      </c>
      <c r="AR16" s="189" t="e">
        <f>$AO$17*AR15</f>
        <v>#DIV/0!</v>
      </c>
      <c r="AS16" s="73"/>
      <c r="AT16" s="126"/>
    </row>
    <row r="17" spans="1:46" ht="14" customHeight="1" x14ac:dyDescent="0.2">
      <c r="A17" s="1" t="s">
        <v>104</v>
      </c>
      <c r="C17" s="92">
        <f>(C16/100)*(C15/M7)</f>
        <v>1.6358325219084724E-3</v>
      </c>
      <c r="D17" s="1" t="s">
        <v>36</v>
      </c>
      <c r="G17" s="9"/>
      <c r="H17" s="129" t="s">
        <v>30</v>
      </c>
      <c r="I17" s="151">
        <f>I16/I15</f>
        <v>3.856410256410256</v>
      </c>
      <c r="J17" s="129" t="s">
        <v>44</v>
      </c>
      <c r="K17" s="129"/>
      <c r="L17" s="129"/>
      <c r="M17" s="129"/>
      <c r="N17" s="95"/>
      <c r="O17" s="14"/>
      <c r="P17" s="15" t="s">
        <v>30</v>
      </c>
      <c r="Q17" s="158" t="e">
        <f>Q16/Q15</f>
        <v>#DIV/0!</v>
      </c>
      <c r="R17" s="15" t="s">
        <v>44</v>
      </c>
      <c r="S17" s="15"/>
      <c r="T17" s="15"/>
      <c r="U17" s="15"/>
      <c r="V17" s="103"/>
      <c r="W17" s="52"/>
      <c r="X17" s="133" t="s">
        <v>30</v>
      </c>
      <c r="Y17" s="168" t="e">
        <f>Y16/Y15</f>
        <v>#DIV/0!</v>
      </c>
      <c r="Z17" s="133" t="s">
        <v>44</v>
      </c>
      <c r="AA17" s="133"/>
      <c r="AB17" s="133"/>
      <c r="AC17" s="133"/>
      <c r="AD17" s="57"/>
      <c r="AE17" s="31"/>
      <c r="AF17" s="137" t="s">
        <v>30</v>
      </c>
      <c r="AG17" s="179" t="e">
        <f>AG16/AG15</f>
        <v>#DIV/0!</v>
      </c>
      <c r="AH17" s="137" t="s">
        <v>44</v>
      </c>
      <c r="AI17" s="137"/>
      <c r="AJ17" s="137"/>
      <c r="AK17" s="137"/>
      <c r="AL17" s="39"/>
      <c r="AM17" s="44"/>
      <c r="AN17" s="141" t="s">
        <v>30</v>
      </c>
      <c r="AO17" s="190" t="e">
        <f>AO16/AO15</f>
        <v>#DIV/0!</v>
      </c>
      <c r="AP17" s="141" t="s">
        <v>44</v>
      </c>
      <c r="AQ17" s="141"/>
      <c r="AR17" s="141"/>
      <c r="AS17" s="141"/>
      <c r="AT17" s="51"/>
    </row>
    <row r="18" spans="1:46" ht="14" customHeight="1" x14ac:dyDescent="0.2">
      <c r="A18" s="1" t="s">
        <v>48</v>
      </c>
      <c r="C18" s="92">
        <f>(61*C17)+((0.106/M4)*C15)</f>
        <v>0.16880903965037031</v>
      </c>
      <c r="D18" s="1" t="s">
        <v>18</v>
      </c>
      <c r="G18" s="9"/>
      <c r="H18" s="129"/>
      <c r="I18" s="129"/>
      <c r="J18" s="129"/>
      <c r="K18" s="129"/>
      <c r="L18" s="129"/>
      <c r="M18" s="129"/>
      <c r="N18" s="95"/>
      <c r="O18" s="14"/>
      <c r="P18" s="15"/>
      <c r="Q18" s="134"/>
      <c r="R18" s="15"/>
      <c r="S18" s="15"/>
      <c r="T18" s="15"/>
      <c r="U18" s="15"/>
      <c r="V18" s="103"/>
      <c r="W18" s="52"/>
      <c r="X18" s="133"/>
      <c r="Y18" s="138"/>
      <c r="Z18" s="133"/>
      <c r="AA18" s="133"/>
      <c r="AB18" s="133"/>
      <c r="AC18" s="133"/>
      <c r="AD18" s="57"/>
      <c r="AE18" s="31"/>
      <c r="AF18" s="137"/>
      <c r="AG18" s="142"/>
      <c r="AH18" s="137"/>
      <c r="AI18" s="137"/>
      <c r="AJ18" s="137"/>
      <c r="AK18" s="137"/>
      <c r="AL18" s="39"/>
      <c r="AM18" s="44"/>
      <c r="AN18" s="141"/>
      <c r="AO18" s="173"/>
      <c r="AP18" s="141"/>
      <c r="AQ18" s="141"/>
      <c r="AR18" s="141"/>
      <c r="AS18" s="141"/>
      <c r="AT18" s="51"/>
    </row>
    <row r="19" spans="1:46" ht="14" customHeight="1" x14ac:dyDescent="0.2">
      <c r="A19" s="1" t="s">
        <v>103</v>
      </c>
      <c r="C19" s="22">
        <f>C15*(C16/100)</f>
        <v>4.2</v>
      </c>
      <c r="D19" s="1" t="s">
        <v>15</v>
      </c>
      <c r="E19" s="1" t="s">
        <v>41</v>
      </c>
      <c r="G19" s="9"/>
      <c r="H19" s="129" t="s">
        <v>60</v>
      </c>
      <c r="I19" s="209">
        <v>2.8209933999999999E-2</v>
      </c>
      <c r="J19" s="210"/>
      <c r="K19" s="152" t="s">
        <v>39</v>
      </c>
      <c r="L19" s="153" t="s">
        <v>31</v>
      </c>
      <c r="M19" s="129"/>
      <c r="N19" s="95"/>
      <c r="O19" s="14"/>
      <c r="P19" s="15" t="s">
        <v>60</v>
      </c>
      <c r="Q19" s="209"/>
      <c r="R19" s="210"/>
      <c r="S19" s="159" t="s">
        <v>39</v>
      </c>
      <c r="T19" s="160" t="s">
        <v>31</v>
      </c>
      <c r="U19" s="15"/>
      <c r="V19" s="103"/>
      <c r="W19" s="52"/>
      <c r="X19" s="133" t="s">
        <v>60</v>
      </c>
      <c r="Y19" s="209"/>
      <c r="Z19" s="210"/>
      <c r="AA19" s="169" t="s">
        <v>39</v>
      </c>
      <c r="AB19" s="170" t="s">
        <v>31</v>
      </c>
      <c r="AC19" s="133"/>
      <c r="AD19" s="57"/>
      <c r="AE19" s="31"/>
      <c r="AF19" s="137" t="s">
        <v>60</v>
      </c>
      <c r="AG19" s="209"/>
      <c r="AH19" s="210"/>
      <c r="AI19" s="180" t="s">
        <v>39</v>
      </c>
      <c r="AJ19" s="181" t="s">
        <v>31</v>
      </c>
      <c r="AK19" s="137"/>
      <c r="AL19" s="39"/>
      <c r="AM19" s="44"/>
      <c r="AN19" s="141" t="s">
        <v>60</v>
      </c>
      <c r="AO19" s="209"/>
      <c r="AP19" s="210"/>
      <c r="AQ19" s="191" t="s">
        <v>39</v>
      </c>
      <c r="AR19" s="192" t="s">
        <v>31</v>
      </c>
      <c r="AS19" s="141"/>
      <c r="AT19" s="51"/>
    </row>
    <row r="20" spans="1:46" ht="14" customHeight="1" x14ac:dyDescent="0.2">
      <c r="A20" s="1" t="s">
        <v>57</v>
      </c>
      <c r="C20" s="18">
        <f>C10*C19</f>
        <v>1.1130000000000002</v>
      </c>
      <c r="D20" s="1" t="s">
        <v>19</v>
      </c>
      <c r="E20" s="1" t="s">
        <v>40</v>
      </c>
      <c r="G20" s="10"/>
      <c r="H20" s="129" t="s">
        <v>32</v>
      </c>
      <c r="I20" s="146">
        <f>LN(2)/I19</f>
        <v>24.571031628785281</v>
      </c>
      <c r="J20" s="129" t="s">
        <v>15</v>
      </c>
      <c r="K20" s="129" t="s">
        <v>33</v>
      </c>
      <c r="L20" s="129"/>
      <c r="M20" s="129"/>
      <c r="N20" s="95"/>
      <c r="O20" s="16"/>
      <c r="P20" s="15" t="s">
        <v>32</v>
      </c>
      <c r="Q20" s="155">
        <f>IFERROR((LN(2)/Q19),0)</f>
        <v>0</v>
      </c>
      <c r="R20" s="15" t="s">
        <v>15</v>
      </c>
      <c r="S20" s="15" t="s">
        <v>33</v>
      </c>
      <c r="T20" s="15"/>
      <c r="U20" s="15"/>
      <c r="V20" s="103"/>
      <c r="W20" s="111"/>
      <c r="X20" s="133" t="s">
        <v>32</v>
      </c>
      <c r="Y20" s="162">
        <f>IFERROR((LN(2)/Y19),0)</f>
        <v>0</v>
      </c>
      <c r="Z20" s="133" t="s">
        <v>15</v>
      </c>
      <c r="AA20" s="133" t="s">
        <v>33</v>
      </c>
      <c r="AB20" s="133"/>
      <c r="AC20" s="133"/>
      <c r="AD20" s="57"/>
      <c r="AE20" s="32"/>
      <c r="AF20" s="137" t="s">
        <v>32</v>
      </c>
      <c r="AG20" s="174">
        <f>IFERROR((LN(2)/AG19),0)</f>
        <v>0</v>
      </c>
      <c r="AH20" s="137" t="s">
        <v>15</v>
      </c>
      <c r="AI20" s="137" t="s">
        <v>33</v>
      </c>
      <c r="AJ20" s="137"/>
      <c r="AK20" s="137"/>
      <c r="AL20" s="39"/>
      <c r="AM20" s="123"/>
      <c r="AN20" s="141" t="s">
        <v>32</v>
      </c>
      <c r="AO20" s="184">
        <f>IFERROR((LN(2)/AO19),0)</f>
        <v>0</v>
      </c>
      <c r="AP20" s="141" t="s">
        <v>15</v>
      </c>
      <c r="AQ20" s="141" t="s">
        <v>33</v>
      </c>
      <c r="AR20" s="141"/>
      <c r="AS20" s="141"/>
      <c r="AT20" s="51"/>
    </row>
    <row r="21" spans="1:46" ht="14" customHeight="1" x14ac:dyDescent="0.2">
      <c r="A21" s="1" t="s">
        <v>50</v>
      </c>
      <c r="C21" s="22">
        <f>C25+C11</f>
        <v>10.659888977123078</v>
      </c>
      <c r="D21" s="1" t="s">
        <v>44</v>
      </c>
      <c r="F21" s="198"/>
      <c r="G21" s="10"/>
      <c r="H21" s="129" t="s">
        <v>93</v>
      </c>
      <c r="I21" s="132">
        <f>1/$I$19</f>
        <v>35.448505480374394</v>
      </c>
      <c r="J21" s="129" t="s">
        <v>15</v>
      </c>
      <c r="K21" s="129" t="s">
        <v>38</v>
      </c>
      <c r="L21" s="129"/>
      <c r="M21" s="129"/>
      <c r="N21" s="95"/>
      <c r="O21" s="16"/>
      <c r="P21" s="15" t="s">
        <v>93</v>
      </c>
      <c r="Q21" s="135" t="e">
        <f>1/$Q$19</f>
        <v>#DIV/0!</v>
      </c>
      <c r="R21" s="15" t="s">
        <v>15</v>
      </c>
      <c r="S21" s="15" t="s">
        <v>38</v>
      </c>
      <c r="T21" s="15"/>
      <c r="U21" s="15"/>
      <c r="V21" s="103"/>
      <c r="W21" s="111"/>
      <c r="X21" s="133" t="s">
        <v>93</v>
      </c>
      <c r="Y21" s="140">
        <f>IFERROR(1/$Y$19,0)</f>
        <v>0</v>
      </c>
      <c r="Z21" s="133" t="s">
        <v>15</v>
      </c>
      <c r="AA21" s="133" t="s">
        <v>38</v>
      </c>
      <c r="AB21" s="133"/>
      <c r="AC21" s="133"/>
      <c r="AD21" s="57"/>
      <c r="AE21" s="32"/>
      <c r="AF21" s="137" t="s">
        <v>93</v>
      </c>
      <c r="AG21" s="144">
        <f>IFERROR(1/$AG$19,0)</f>
        <v>0</v>
      </c>
      <c r="AH21" s="137" t="s">
        <v>15</v>
      </c>
      <c r="AI21" s="137" t="s">
        <v>38</v>
      </c>
      <c r="AJ21" s="137"/>
      <c r="AK21" s="137"/>
      <c r="AL21" s="39"/>
      <c r="AM21" s="123"/>
      <c r="AN21" s="141" t="s">
        <v>93</v>
      </c>
      <c r="AO21" s="145">
        <f>IFERROR(1/$AO$19,0)</f>
        <v>0</v>
      </c>
      <c r="AP21" s="141" t="s">
        <v>15</v>
      </c>
      <c r="AQ21" s="141" t="s">
        <v>38</v>
      </c>
      <c r="AR21" s="141"/>
      <c r="AS21" s="141"/>
      <c r="AT21" s="51"/>
    </row>
    <row r="22" spans="1:46" ht="14" customHeight="1" x14ac:dyDescent="0.2">
      <c r="G22" s="10"/>
      <c r="H22" s="129"/>
      <c r="I22" s="129"/>
      <c r="J22" s="129"/>
      <c r="K22" s="129"/>
      <c r="L22" s="129"/>
      <c r="M22" s="129"/>
      <c r="N22" s="95"/>
      <c r="O22" s="16"/>
      <c r="P22" s="15"/>
      <c r="Q22" s="15"/>
      <c r="R22" s="134"/>
      <c r="S22" s="134"/>
      <c r="T22" s="134"/>
      <c r="U22" s="15"/>
      <c r="V22" s="103"/>
      <c r="W22" s="111"/>
      <c r="X22" s="133"/>
      <c r="Y22" s="133"/>
      <c r="Z22" s="133"/>
      <c r="AA22" s="133"/>
      <c r="AB22" s="133"/>
      <c r="AC22" s="133"/>
      <c r="AD22" s="57"/>
      <c r="AE22" s="32"/>
      <c r="AF22" s="137"/>
      <c r="AG22" s="137"/>
      <c r="AH22" s="137"/>
      <c r="AI22" s="137"/>
      <c r="AJ22" s="137"/>
      <c r="AK22" s="137"/>
      <c r="AL22" s="39"/>
      <c r="AM22" s="123"/>
      <c r="AN22" s="141"/>
      <c r="AO22" s="141"/>
      <c r="AP22" s="141"/>
      <c r="AQ22" s="141"/>
      <c r="AR22" s="141"/>
      <c r="AS22" s="141"/>
      <c r="AT22" s="51"/>
    </row>
    <row r="23" spans="1:46" ht="14" customHeight="1" x14ac:dyDescent="0.2">
      <c r="A23" s="78" t="s">
        <v>105</v>
      </c>
      <c r="B23" s="15"/>
      <c r="C23" s="15"/>
      <c r="D23" s="15"/>
      <c r="E23" s="197"/>
      <c r="F23" s="197"/>
      <c r="G23" s="10"/>
      <c r="H23" s="129" t="s">
        <v>121</v>
      </c>
      <c r="I23" s="154">
        <f>H6*I21*1000</f>
        <v>133286.38060620771</v>
      </c>
      <c r="J23" s="129" t="s">
        <v>116</v>
      </c>
      <c r="K23" s="129" t="s">
        <v>37</v>
      </c>
      <c r="L23" s="129"/>
      <c r="M23" s="129"/>
      <c r="N23" s="95"/>
      <c r="O23" s="16"/>
      <c r="P23" s="15" t="s">
        <v>121</v>
      </c>
      <c r="Q23" s="161" t="e">
        <f>P6*Q21*1000</f>
        <v>#DIV/0!</v>
      </c>
      <c r="R23" s="24" t="s">
        <v>116</v>
      </c>
      <c r="S23" s="15" t="s">
        <v>37</v>
      </c>
      <c r="T23" s="134"/>
      <c r="U23" s="15"/>
      <c r="V23" s="103"/>
      <c r="W23" s="111"/>
      <c r="X23" s="133" t="s">
        <v>121</v>
      </c>
      <c r="Y23" s="171">
        <f>X6*Y21*1000</f>
        <v>0</v>
      </c>
      <c r="Z23" s="133" t="s">
        <v>116</v>
      </c>
      <c r="AA23" s="133" t="s">
        <v>37</v>
      </c>
      <c r="AB23" s="133"/>
      <c r="AC23" s="133"/>
      <c r="AD23" s="57"/>
      <c r="AE23" s="32"/>
      <c r="AF23" s="137" t="s">
        <v>121</v>
      </c>
      <c r="AG23" s="182">
        <f>AF6*AG21*1000</f>
        <v>0</v>
      </c>
      <c r="AH23" s="137" t="s">
        <v>116</v>
      </c>
      <c r="AI23" s="137" t="s">
        <v>37</v>
      </c>
      <c r="AJ23" s="137"/>
      <c r="AK23" s="137"/>
      <c r="AL23" s="39"/>
      <c r="AM23" s="123"/>
      <c r="AN23" s="141" t="s">
        <v>121</v>
      </c>
      <c r="AO23" s="193">
        <f>AN6*AO21*1000</f>
        <v>0</v>
      </c>
      <c r="AP23" s="141" t="s">
        <v>116</v>
      </c>
      <c r="AQ23" s="141" t="s">
        <v>37</v>
      </c>
      <c r="AR23" s="141"/>
      <c r="AS23" s="141"/>
      <c r="AT23" s="51"/>
    </row>
    <row r="24" spans="1:46" ht="14" customHeight="1" x14ac:dyDescent="0.2">
      <c r="A24" s="15" t="s">
        <v>80</v>
      </c>
      <c r="B24" s="72"/>
      <c r="C24" s="88">
        <f>E24*0.037</f>
        <v>6.5932488112252914</v>
      </c>
      <c r="D24" s="15" t="s">
        <v>77</v>
      </c>
      <c r="E24" s="199">
        <f>(C20/C18)*27.027027027</f>
        <v>178.19591381689978</v>
      </c>
      <c r="F24" s="198"/>
      <c r="G24" s="10"/>
      <c r="H24" s="129" t="s">
        <v>122</v>
      </c>
      <c r="I24" s="130">
        <f>(0.000134)*(M4^-0.921)</f>
        <v>4.194501468465044E-6</v>
      </c>
      <c r="J24" s="129" t="s">
        <v>117</v>
      </c>
      <c r="K24" s="129"/>
      <c r="L24" s="129"/>
      <c r="M24" s="129"/>
      <c r="N24" s="95"/>
      <c r="O24" s="16"/>
      <c r="P24" s="15" t="s">
        <v>122</v>
      </c>
      <c r="Q24" s="134" t="e">
        <f>(0.000134)*(U4^-0.921)</f>
        <v>#DIV/0!</v>
      </c>
      <c r="R24" s="15" t="s">
        <v>117</v>
      </c>
      <c r="S24" s="134"/>
      <c r="T24" s="134"/>
      <c r="U24" s="15"/>
      <c r="V24" s="103"/>
      <c r="W24" s="111"/>
      <c r="X24" s="133" t="s">
        <v>122</v>
      </c>
      <c r="Y24" s="138" t="e">
        <f>(0.000134)*(AC4^-0.921)</f>
        <v>#DIV/0!</v>
      </c>
      <c r="Z24" s="133" t="s">
        <v>117</v>
      </c>
      <c r="AA24" s="133"/>
      <c r="AB24" s="133"/>
      <c r="AC24" s="133"/>
      <c r="AD24" s="57"/>
      <c r="AE24" s="32"/>
      <c r="AF24" s="137" t="s">
        <v>122</v>
      </c>
      <c r="AG24" s="137" t="e">
        <f>(0.000134)*(AK4^-0.921)</f>
        <v>#DIV/0!</v>
      </c>
      <c r="AH24" s="137" t="s">
        <v>117</v>
      </c>
      <c r="AI24" s="137"/>
      <c r="AJ24" s="137"/>
      <c r="AK24" s="137"/>
      <c r="AL24" s="39"/>
      <c r="AM24" s="123"/>
      <c r="AN24" s="141" t="s">
        <v>122</v>
      </c>
      <c r="AO24" s="173" t="e">
        <f>(0.000134)*(AS4^-0.921)</f>
        <v>#DIV/0!</v>
      </c>
      <c r="AP24" s="141" t="s">
        <v>117</v>
      </c>
      <c r="AQ24" s="141"/>
      <c r="AR24" s="141"/>
      <c r="AS24" s="141"/>
      <c r="AT24" s="51"/>
    </row>
    <row r="25" spans="1:46" ht="14" customHeight="1" x14ac:dyDescent="0.2">
      <c r="A25" s="15" t="s">
        <v>51</v>
      </c>
      <c r="B25" s="15"/>
      <c r="C25" s="88">
        <f>C14/C18</f>
        <v>6.8998889771230782</v>
      </c>
      <c r="D25" s="15" t="s">
        <v>44</v>
      </c>
      <c r="F25" s="198"/>
      <c r="G25" s="10"/>
      <c r="H25" s="129" t="s">
        <v>17</v>
      </c>
      <c r="I25" s="130">
        <f>(K9/100)*(I21/M7)</f>
        <v>2.2090597378227488E-3</v>
      </c>
      <c r="J25" s="129" t="s">
        <v>36</v>
      </c>
      <c r="K25" s="129"/>
      <c r="L25" s="129"/>
      <c r="M25" s="129"/>
      <c r="N25" s="95"/>
      <c r="O25" s="16"/>
      <c r="P25" s="15" t="s">
        <v>17</v>
      </c>
      <c r="Q25" s="134" t="e">
        <f>(S9/100)*(Q21/U7)</f>
        <v>#DIV/0!</v>
      </c>
      <c r="R25" s="15" t="s">
        <v>15</v>
      </c>
      <c r="S25" s="15"/>
      <c r="T25" s="15"/>
      <c r="U25" s="15"/>
      <c r="V25" s="103"/>
      <c r="W25" s="111"/>
      <c r="X25" s="133" t="s">
        <v>17</v>
      </c>
      <c r="Y25" s="138">
        <f>(AA9/100)*(Y21/AC7)</f>
        <v>0</v>
      </c>
      <c r="Z25" s="133" t="s">
        <v>15</v>
      </c>
      <c r="AA25" s="133"/>
      <c r="AB25" s="133"/>
      <c r="AC25" s="133"/>
      <c r="AD25" s="57"/>
      <c r="AE25" s="32"/>
      <c r="AF25" s="137" t="s">
        <v>17</v>
      </c>
      <c r="AG25" s="142">
        <f>(AI9/100)*(AG21/AK7)</f>
        <v>0</v>
      </c>
      <c r="AH25" s="137" t="s">
        <v>15</v>
      </c>
      <c r="AI25" s="137"/>
      <c r="AJ25" s="137"/>
      <c r="AK25" s="137"/>
      <c r="AL25" s="39"/>
      <c r="AM25" s="123"/>
      <c r="AN25" s="141" t="s">
        <v>17</v>
      </c>
      <c r="AO25" s="173">
        <f>(AQ9/100)*(AO21/AS7)</f>
        <v>0</v>
      </c>
      <c r="AP25" s="141" t="s">
        <v>15</v>
      </c>
      <c r="AQ25" s="141"/>
      <c r="AR25" s="141"/>
      <c r="AS25" s="141"/>
      <c r="AT25" s="51"/>
    </row>
    <row r="26" spans="1:46" ht="14" customHeight="1" x14ac:dyDescent="0.2">
      <c r="A26" s="89" t="s">
        <v>106</v>
      </c>
      <c r="B26" s="90"/>
      <c r="C26" s="90"/>
      <c r="D26" s="90"/>
      <c r="E26" s="197"/>
      <c r="F26" s="197"/>
      <c r="G26" s="10"/>
      <c r="H26" s="129" t="s">
        <v>111</v>
      </c>
      <c r="I26" s="130">
        <f>(61*I25)+((0.106/M4)*I21)</f>
        <v>0.22213733193555246</v>
      </c>
      <c r="J26" s="129" t="s">
        <v>18</v>
      </c>
      <c r="K26" s="129"/>
      <c r="L26" s="129"/>
      <c r="M26" s="129"/>
      <c r="N26" s="95"/>
      <c r="O26" s="16"/>
      <c r="P26" s="15" t="s">
        <v>112</v>
      </c>
      <c r="Q26" s="134" t="e">
        <f>(61*Q25)+((0.106/U4)*Q21)</f>
        <v>#DIV/0!</v>
      </c>
      <c r="R26" s="15" t="s">
        <v>18</v>
      </c>
      <c r="S26" s="15"/>
      <c r="T26" s="15"/>
      <c r="U26" s="15"/>
      <c r="V26" s="103"/>
      <c r="W26" s="111"/>
      <c r="X26" s="133" t="s">
        <v>112</v>
      </c>
      <c r="Y26" s="138" t="e">
        <f>(61*Y25)+((0.106/AC4)*Y21)</f>
        <v>#DIV/0!</v>
      </c>
      <c r="Z26" s="133" t="s">
        <v>18</v>
      </c>
      <c r="AA26" s="133"/>
      <c r="AB26" s="133"/>
      <c r="AC26" s="133"/>
      <c r="AD26" s="57"/>
      <c r="AE26" s="32"/>
      <c r="AF26" s="137" t="s">
        <v>112</v>
      </c>
      <c r="AG26" s="142" t="e">
        <f>(61*AG25)+((0.106/AK4)*AG21)</f>
        <v>#DIV/0!</v>
      </c>
      <c r="AH26" s="137" t="s">
        <v>18</v>
      </c>
      <c r="AI26" s="137"/>
      <c r="AJ26" s="137"/>
      <c r="AK26" s="137"/>
      <c r="AL26" s="39"/>
      <c r="AM26" s="123"/>
      <c r="AN26" s="141" t="s">
        <v>112</v>
      </c>
      <c r="AO26" s="173" t="e">
        <f>(61*AO25)+((0.106/AS4)*AO21)</f>
        <v>#DIV/0!</v>
      </c>
      <c r="AP26" s="141" t="s">
        <v>18</v>
      </c>
      <c r="AQ26" s="141"/>
      <c r="AR26" s="141"/>
      <c r="AS26" s="141"/>
      <c r="AT26" s="51"/>
    </row>
    <row r="27" spans="1:46" ht="14" customHeight="1" x14ac:dyDescent="0.2">
      <c r="A27" s="90" t="s">
        <v>80</v>
      </c>
      <c r="B27" s="90"/>
      <c r="C27" s="91">
        <f>C24</f>
        <v>6.5932488112252914</v>
      </c>
      <c r="D27" s="90" t="s">
        <v>77</v>
      </c>
      <c r="E27" s="199">
        <f>E24</f>
        <v>178.19591381689978</v>
      </c>
      <c r="F27" s="198"/>
      <c r="G27" s="10"/>
      <c r="H27" s="129" t="s">
        <v>67</v>
      </c>
      <c r="I27" s="79">
        <f>H6*I26</f>
        <v>0.8352363680776772</v>
      </c>
      <c r="J27" s="129" t="s">
        <v>19</v>
      </c>
      <c r="K27" s="129" t="s">
        <v>82</v>
      </c>
      <c r="L27" s="129"/>
      <c r="M27" s="129"/>
      <c r="N27" s="95"/>
      <c r="O27" s="16"/>
      <c r="P27" s="15" t="s">
        <v>67</v>
      </c>
      <c r="Q27" s="84">
        <f>IFERROR(P6*Q26,0)</f>
        <v>0</v>
      </c>
      <c r="R27" s="15" t="s">
        <v>19</v>
      </c>
      <c r="S27" s="15" t="s">
        <v>82</v>
      </c>
      <c r="T27" s="15"/>
      <c r="U27" s="15"/>
      <c r="V27" s="103"/>
      <c r="W27" s="111"/>
      <c r="X27" s="133" t="s">
        <v>67</v>
      </c>
      <c r="Y27" s="85">
        <f>IFERROR(X6*Y26,0)</f>
        <v>0</v>
      </c>
      <c r="Z27" s="133" t="s">
        <v>19</v>
      </c>
      <c r="AA27" s="133" t="s">
        <v>82</v>
      </c>
      <c r="AB27" s="133"/>
      <c r="AC27" s="133"/>
      <c r="AD27" s="57"/>
      <c r="AE27" s="32"/>
      <c r="AF27" s="137" t="s">
        <v>67</v>
      </c>
      <c r="AG27" s="86">
        <f>IFERROR(AF6*AG26,0)</f>
        <v>0</v>
      </c>
      <c r="AH27" s="137" t="s">
        <v>19</v>
      </c>
      <c r="AI27" s="137" t="s">
        <v>82</v>
      </c>
      <c r="AJ27" s="137"/>
      <c r="AK27" s="137"/>
      <c r="AL27" s="39"/>
      <c r="AM27" s="123"/>
      <c r="AN27" s="141" t="s">
        <v>67</v>
      </c>
      <c r="AO27" s="87">
        <f>IFERROR(AN6*AO26,0)</f>
        <v>0</v>
      </c>
      <c r="AP27" s="141" t="s">
        <v>19</v>
      </c>
      <c r="AQ27" s="141" t="s">
        <v>82</v>
      </c>
      <c r="AR27" s="141"/>
      <c r="AS27" s="141"/>
      <c r="AT27" s="51"/>
    </row>
    <row r="28" spans="1:46" ht="14" customHeight="1" x14ac:dyDescent="0.2">
      <c r="A28" s="90" t="s">
        <v>76</v>
      </c>
      <c r="B28" s="90"/>
      <c r="C28" s="91">
        <f>IF(C13="Second",L38,IF(C13="Third",T38,IF(C13="Fourth",AB38,IF(C13="Fifth",AJ38,AR38))))</f>
        <v>9.5330541157939575</v>
      </c>
      <c r="D28" s="90" t="s">
        <v>44</v>
      </c>
      <c r="F28" s="197"/>
      <c r="G28" s="10"/>
      <c r="H28" s="129" t="s">
        <v>119</v>
      </c>
      <c r="I28" s="131">
        <f>I24*I23</f>
        <v>0.55906991917912896</v>
      </c>
      <c r="J28" s="129" t="s">
        <v>19</v>
      </c>
      <c r="K28" s="129" t="s">
        <v>118</v>
      </c>
      <c r="L28" s="129"/>
      <c r="M28" s="129"/>
      <c r="N28" s="95"/>
      <c r="O28" s="16"/>
      <c r="P28" s="15" t="s">
        <v>119</v>
      </c>
      <c r="Q28" s="136" t="e">
        <f>Q24*Q23</f>
        <v>#DIV/0!</v>
      </c>
      <c r="R28" s="24" t="s">
        <v>19</v>
      </c>
      <c r="S28" s="15" t="s">
        <v>118</v>
      </c>
      <c r="T28" s="134"/>
      <c r="U28" s="15"/>
      <c r="V28" s="103"/>
      <c r="W28" s="111"/>
      <c r="X28" s="133" t="s">
        <v>119</v>
      </c>
      <c r="Y28" s="139" t="e">
        <f>Y24*Y23</f>
        <v>#DIV/0!</v>
      </c>
      <c r="Z28" s="133" t="s">
        <v>19</v>
      </c>
      <c r="AA28" s="133" t="s">
        <v>118</v>
      </c>
      <c r="AB28" s="133"/>
      <c r="AC28" s="133"/>
      <c r="AD28" s="57"/>
      <c r="AE28" s="32"/>
      <c r="AF28" s="137" t="s">
        <v>119</v>
      </c>
      <c r="AG28" s="143" t="e">
        <f>AG24*AG23</f>
        <v>#DIV/0!</v>
      </c>
      <c r="AH28" s="137" t="s">
        <v>19</v>
      </c>
      <c r="AI28" s="137" t="s">
        <v>118</v>
      </c>
      <c r="AJ28" s="137"/>
      <c r="AK28" s="137"/>
      <c r="AL28" s="39"/>
      <c r="AM28" s="123"/>
      <c r="AN28" s="141" t="s">
        <v>119</v>
      </c>
      <c r="AO28" s="194" t="e">
        <f>AO24*AO23</f>
        <v>#DIV/0!</v>
      </c>
      <c r="AP28" s="141" t="s">
        <v>19</v>
      </c>
      <c r="AQ28" s="141" t="s">
        <v>118</v>
      </c>
      <c r="AR28" s="141"/>
      <c r="AS28" s="141"/>
      <c r="AT28" s="51"/>
    </row>
    <row r="29" spans="1:46" ht="14" customHeight="1" x14ac:dyDescent="0.2">
      <c r="E29" s="197"/>
      <c r="F29" s="197"/>
      <c r="G29" s="10"/>
      <c r="H29" s="129"/>
      <c r="I29" s="129"/>
      <c r="J29" s="129"/>
      <c r="K29" s="129"/>
      <c r="L29" s="129"/>
      <c r="M29" s="129"/>
      <c r="N29" s="95"/>
      <c r="O29" s="16"/>
      <c r="P29" s="15"/>
      <c r="Q29" s="15"/>
      <c r="R29" s="134"/>
      <c r="S29" s="134"/>
      <c r="T29" s="134"/>
      <c r="U29" s="15"/>
      <c r="V29" s="103"/>
      <c r="W29" s="111"/>
      <c r="X29" s="133"/>
      <c r="Y29" s="133"/>
      <c r="Z29" s="133"/>
      <c r="AA29" s="133"/>
      <c r="AB29" s="133"/>
      <c r="AC29" s="133"/>
      <c r="AD29" s="57"/>
      <c r="AE29" s="32"/>
      <c r="AF29" s="137"/>
      <c r="AG29" s="137"/>
      <c r="AH29" s="137"/>
      <c r="AI29" s="137"/>
      <c r="AJ29" s="137"/>
      <c r="AK29" s="137"/>
      <c r="AL29" s="39"/>
      <c r="AM29" s="123"/>
      <c r="AN29" s="141"/>
      <c r="AO29" s="141"/>
      <c r="AP29" s="141"/>
      <c r="AQ29" s="141"/>
      <c r="AR29" s="141"/>
      <c r="AS29" s="141"/>
      <c r="AT29" s="51"/>
    </row>
    <row r="30" spans="1:46" x14ac:dyDescent="0.2">
      <c r="G30" s="10"/>
      <c r="H30" s="148" t="s">
        <v>65</v>
      </c>
      <c r="I30" s="129"/>
      <c r="J30" s="129"/>
      <c r="K30" s="129"/>
      <c r="L30" s="129"/>
      <c r="M30" s="129"/>
      <c r="N30" s="95"/>
      <c r="O30" s="16"/>
      <c r="P30" s="78" t="s">
        <v>65</v>
      </c>
      <c r="Q30" s="15"/>
      <c r="R30" s="134"/>
      <c r="S30" s="134"/>
      <c r="T30" s="134"/>
      <c r="U30" s="15"/>
      <c r="V30" s="103"/>
      <c r="W30" s="111"/>
      <c r="X30" s="164" t="s">
        <v>65</v>
      </c>
      <c r="Y30" s="133"/>
      <c r="Z30" s="133"/>
      <c r="AA30" s="133"/>
      <c r="AB30" s="133"/>
      <c r="AC30" s="133"/>
      <c r="AD30" s="57"/>
      <c r="AE30" s="32"/>
      <c r="AF30" s="176" t="s">
        <v>65</v>
      </c>
      <c r="AG30" s="137"/>
      <c r="AH30" s="137"/>
      <c r="AI30" s="137"/>
      <c r="AJ30" s="137"/>
      <c r="AK30" s="137"/>
      <c r="AL30" s="39"/>
      <c r="AM30" s="123"/>
      <c r="AN30" s="187" t="s">
        <v>65</v>
      </c>
      <c r="AO30" s="141"/>
      <c r="AP30" s="141"/>
      <c r="AQ30" s="141"/>
      <c r="AR30" s="141"/>
      <c r="AS30" s="141"/>
      <c r="AT30" s="51"/>
    </row>
    <row r="31" spans="1:46" x14ac:dyDescent="0.2">
      <c r="G31" s="10"/>
      <c r="H31" s="129" t="s">
        <v>66</v>
      </c>
      <c r="I31" s="129"/>
      <c r="J31" s="129"/>
      <c r="K31" s="130" t="s">
        <v>0</v>
      </c>
      <c r="L31" s="130">
        <v>48</v>
      </c>
      <c r="M31" s="129" t="s">
        <v>15</v>
      </c>
      <c r="N31" s="95"/>
      <c r="O31" s="16"/>
      <c r="P31" s="15"/>
      <c r="Q31" s="15"/>
      <c r="R31" s="134"/>
      <c r="S31" s="134"/>
      <c r="T31" s="134"/>
      <c r="U31" s="15"/>
      <c r="V31" s="103"/>
      <c r="W31" s="111"/>
      <c r="X31" s="133"/>
      <c r="Y31" s="133"/>
      <c r="Z31" s="133"/>
      <c r="AA31" s="133"/>
      <c r="AB31" s="133"/>
      <c r="AC31" s="133"/>
      <c r="AD31" s="57"/>
      <c r="AE31" s="32"/>
      <c r="AF31" s="137"/>
      <c r="AG31" s="137"/>
      <c r="AH31" s="137"/>
      <c r="AI31" s="137"/>
      <c r="AJ31" s="137"/>
      <c r="AK31" s="137"/>
      <c r="AL31" s="39"/>
      <c r="AM31" s="123"/>
      <c r="AN31" s="141"/>
      <c r="AO31" s="141"/>
      <c r="AP31" s="141"/>
      <c r="AQ31" s="141"/>
      <c r="AR31" s="141"/>
      <c r="AS31" s="141"/>
      <c r="AT31" s="51"/>
    </row>
    <row r="32" spans="1:46" x14ac:dyDescent="0.2">
      <c r="G32" s="10"/>
      <c r="H32" s="129"/>
      <c r="I32" s="129"/>
      <c r="J32" s="129"/>
      <c r="K32" s="130" t="s">
        <v>1</v>
      </c>
      <c r="L32" s="146">
        <f>2.96*(M3/163)</f>
        <v>2.6876073619631899</v>
      </c>
      <c r="M32" s="129" t="s">
        <v>126</v>
      </c>
      <c r="N32" s="95"/>
      <c r="O32" s="16"/>
      <c r="P32" s="15"/>
      <c r="Q32" s="15"/>
      <c r="R32" s="134"/>
      <c r="S32" s="134"/>
      <c r="T32" s="134"/>
      <c r="U32" s="15"/>
      <c r="V32" s="103"/>
      <c r="W32" s="111"/>
      <c r="X32" s="133"/>
      <c r="Y32" s="133"/>
      <c r="Z32" s="133"/>
      <c r="AA32" s="133"/>
      <c r="AB32" s="133"/>
      <c r="AC32" s="133"/>
      <c r="AD32" s="57"/>
      <c r="AE32" s="32"/>
      <c r="AF32" s="137"/>
      <c r="AG32" s="137"/>
      <c r="AH32" s="137"/>
      <c r="AI32" s="137"/>
      <c r="AJ32" s="137"/>
      <c r="AK32" s="137"/>
      <c r="AL32" s="39"/>
      <c r="AM32" s="123"/>
      <c r="AN32" s="141"/>
      <c r="AO32" s="141"/>
      <c r="AP32" s="141"/>
      <c r="AQ32" s="141"/>
      <c r="AR32" s="141"/>
      <c r="AS32" s="141"/>
      <c r="AT32" s="51"/>
    </row>
    <row r="33" spans="7:46" ht="16" x14ac:dyDescent="0.2">
      <c r="G33" s="10"/>
      <c r="H33" s="129" t="s">
        <v>60</v>
      </c>
      <c r="I33" s="129"/>
      <c r="J33" s="129"/>
      <c r="K33" s="214">
        <f>I19</f>
        <v>2.8209933999999999E-2</v>
      </c>
      <c r="L33" s="203"/>
      <c r="M33" s="152" t="s">
        <v>39</v>
      </c>
      <c r="N33" s="95"/>
      <c r="O33" s="16"/>
      <c r="P33" s="15" t="s">
        <v>60</v>
      </c>
      <c r="Q33" s="15"/>
      <c r="R33" s="134"/>
      <c r="S33" s="204">
        <f>Q19</f>
        <v>0</v>
      </c>
      <c r="T33" s="211"/>
      <c r="U33" s="159" t="s">
        <v>39</v>
      </c>
      <c r="V33" s="103"/>
      <c r="W33" s="111"/>
      <c r="X33" s="133" t="s">
        <v>60</v>
      </c>
      <c r="Y33" s="133"/>
      <c r="Z33" s="133"/>
      <c r="AA33" s="205">
        <f>Y19</f>
        <v>0</v>
      </c>
      <c r="AB33" s="212"/>
      <c r="AC33" s="169" t="s">
        <v>39</v>
      </c>
      <c r="AD33" s="57"/>
      <c r="AE33" s="32"/>
      <c r="AF33" s="137" t="s">
        <v>60</v>
      </c>
      <c r="AG33" s="137"/>
      <c r="AH33" s="137"/>
      <c r="AI33" s="206">
        <f>AG19</f>
        <v>0</v>
      </c>
      <c r="AJ33" s="213"/>
      <c r="AK33" s="180" t="s">
        <v>39</v>
      </c>
      <c r="AL33" s="39"/>
      <c r="AM33" s="123"/>
      <c r="AN33" s="141" t="s">
        <v>60</v>
      </c>
      <c r="AO33" s="141"/>
      <c r="AP33" s="141"/>
      <c r="AQ33" s="207">
        <f>AO19</f>
        <v>0</v>
      </c>
      <c r="AR33" s="208"/>
      <c r="AS33" s="195" t="s">
        <v>39</v>
      </c>
      <c r="AT33" s="51"/>
    </row>
    <row r="34" spans="7:46" x14ac:dyDescent="0.2">
      <c r="G34" s="10"/>
      <c r="H34" s="129" t="s">
        <v>61</v>
      </c>
      <c r="I34" s="129"/>
      <c r="J34" s="129"/>
      <c r="K34" s="129"/>
      <c r="L34" s="146">
        <f>H6*(EXP(-K33*48))</f>
        <v>0.97077760441830219</v>
      </c>
      <c r="M34" s="129" t="s">
        <v>126</v>
      </c>
      <c r="N34" s="95"/>
      <c r="O34" s="16"/>
      <c r="P34" s="15" t="s">
        <v>61</v>
      </c>
      <c r="Q34" s="15"/>
      <c r="R34" s="134"/>
      <c r="S34" s="134"/>
      <c r="T34" s="155">
        <f>P6*EXP(-S33*48)</f>
        <v>0</v>
      </c>
      <c r="U34" s="15" t="s">
        <v>126</v>
      </c>
      <c r="V34" s="103"/>
      <c r="W34" s="111"/>
      <c r="X34" s="133" t="s">
        <v>61</v>
      </c>
      <c r="Y34" s="133"/>
      <c r="Z34" s="133"/>
      <c r="AA34" s="133"/>
      <c r="AB34" s="162">
        <f>X6*EXP(-AA33*48)</f>
        <v>0</v>
      </c>
      <c r="AC34" s="133" t="s">
        <v>126</v>
      </c>
      <c r="AD34" s="57"/>
      <c r="AE34" s="32"/>
      <c r="AF34" s="137" t="s">
        <v>61</v>
      </c>
      <c r="AG34" s="137"/>
      <c r="AH34" s="137"/>
      <c r="AI34" s="137"/>
      <c r="AJ34" s="174">
        <f>AF6*EXP(-AI33*48)</f>
        <v>0</v>
      </c>
      <c r="AK34" s="137" t="s">
        <v>126</v>
      </c>
      <c r="AL34" s="39"/>
      <c r="AM34" s="123"/>
      <c r="AN34" s="141" t="s">
        <v>61</v>
      </c>
      <c r="AO34" s="141"/>
      <c r="AP34" s="141"/>
      <c r="AQ34" s="141"/>
      <c r="AR34" s="184">
        <f>AN6*EXP(-AQ33*48)</f>
        <v>0</v>
      </c>
      <c r="AS34" s="141" t="s">
        <v>126</v>
      </c>
      <c r="AT34" s="51"/>
    </row>
    <row r="35" spans="7:46" x14ac:dyDescent="0.2">
      <c r="G35" s="10"/>
      <c r="H35" s="129" t="s">
        <v>62</v>
      </c>
      <c r="I35" s="129"/>
      <c r="J35" s="129"/>
      <c r="K35" s="129"/>
      <c r="L35" s="146">
        <f>L32-L34</f>
        <v>1.7168297575448879</v>
      </c>
      <c r="M35" s="129" t="s">
        <v>126</v>
      </c>
      <c r="N35" s="95"/>
      <c r="O35" s="16"/>
      <c r="P35" s="15" t="s">
        <v>68</v>
      </c>
      <c r="Q35" s="15"/>
      <c r="R35" s="134"/>
      <c r="S35" s="134"/>
      <c r="T35" s="155">
        <f>L32-L34-T34</f>
        <v>1.7168297575448879</v>
      </c>
      <c r="U35" s="15" t="s">
        <v>126</v>
      </c>
      <c r="V35" s="103"/>
      <c r="W35" s="111"/>
      <c r="X35" s="133" t="s">
        <v>71</v>
      </c>
      <c r="Y35" s="133"/>
      <c r="Z35" s="133"/>
      <c r="AA35" s="133"/>
      <c r="AB35" s="162">
        <f>T35-AB34</f>
        <v>1.7168297575448879</v>
      </c>
      <c r="AC35" s="133" t="s">
        <v>126</v>
      </c>
      <c r="AD35" s="57"/>
      <c r="AE35" s="32"/>
      <c r="AF35" s="137" t="s">
        <v>72</v>
      </c>
      <c r="AG35" s="137"/>
      <c r="AH35" s="137"/>
      <c r="AI35" s="137"/>
      <c r="AJ35" s="174">
        <f>AB35-AJ34</f>
        <v>1.7168297575448879</v>
      </c>
      <c r="AK35" s="137" t="s">
        <v>126</v>
      </c>
      <c r="AL35" s="39"/>
      <c r="AM35" s="123"/>
      <c r="AN35" s="141" t="s">
        <v>73</v>
      </c>
      <c r="AO35" s="141"/>
      <c r="AP35" s="141"/>
      <c r="AQ35" s="141"/>
      <c r="AR35" s="184">
        <f>AJ35-AR34</f>
        <v>1.7168297575448879</v>
      </c>
      <c r="AS35" s="141" t="s">
        <v>126</v>
      </c>
      <c r="AT35" s="51"/>
    </row>
    <row r="36" spans="7:46" x14ac:dyDescent="0.2">
      <c r="G36" s="10"/>
      <c r="H36" s="129" t="s">
        <v>74</v>
      </c>
      <c r="I36" s="129"/>
      <c r="J36" s="129"/>
      <c r="K36" s="129"/>
      <c r="L36" s="2">
        <v>28</v>
      </c>
      <c r="M36" s="129" t="s">
        <v>15</v>
      </c>
      <c r="N36" s="95"/>
      <c r="O36" s="16"/>
      <c r="P36" s="15" t="s">
        <v>74</v>
      </c>
      <c r="Q36" s="15"/>
      <c r="R36" s="134"/>
      <c r="S36" s="134"/>
      <c r="T36" s="2"/>
      <c r="U36" s="15" t="s">
        <v>15</v>
      </c>
      <c r="V36" s="103"/>
      <c r="W36" s="111"/>
      <c r="X36" s="172" t="s">
        <v>74</v>
      </c>
      <c r="Y36" s="133"/>
      <c r="Z36" s="133"/>
      <c r="AA36" s="133"/>
      <c r="AB36" s="2"/>
      <c r="AC36" s="133" t="s">
        <v>15</v>
      </c>
      <c r="AD36" s="57"/>
      <c r="AE36" s="32"/>
      <c r="AF36" s="183" t="s">
        <v>74</v>
      </c>
      <c r="AG36" s="137"/>
      <c r="AH36" s="137"/>
      <c r="AI36" s="137"/>
      <c r="AJ36" s="2"/>
      <c r="AK36" s="137" t="s">
        <v>15</v>
      </c>
      <c r="AL36" s="39"/>
      <c r="AM36" s="123"/>
      <c r="AN36" s="196" t="s">
        <v>74</v>
      </c>
      <c r="AO36" s="141"/>
      <c r="AP36" s="141"/>
      <c r="AQ36" s="141"/>
      <c r="AR36" s="2"/>
      <c r="AS36" s="141" t="s">
        <v>15</v>
      </c>
      <c r="AT36" s="51"/>
    </row>
    <row r="37" spans="7:46" ht="16" x14ac:dyDescent="0.2">
      <c r="G37" s="10"/>
      <c r="H37" s="129" t="s">
        <v>69</v>
      </c>
      <c r="I37" s="129"/>
      <c r="J37" s="129"/>
      <c r="K37" s="202">
        <f>1/L36</f>
        <v>3.5714285714285712E-2</v>
      </c>
      <c r="L37" s="203"/>
      <c r="M37" s="152" t="s">
        <v>39</v>
      </c>
      <c r="N37" s="95"/>
      <c r="O37" s="16"/>
      <c r="P37" s="15" t="s">
        <v>69</v>
      </c>
      <c r="Q37" s="15"/>
      <c r="R37" s="134"/>
      <c r="S37" s="204" t="e">
        <f>1/T36</f>
        <v>#DIV/0!</v>
      </c>
      <c r="T37" s="203"/>
      <c r="U37" s="159" t="s">
        <v>39</v>
      </c>
      <c r="V37" s="103"/>
      <c r="W37" s="111"/>
      <c r="X37" s="133" t="s">
        <v>69</v>
      </c>
      <c r="Y37" s="133"/>
      <c r="Z37" s="133"/>
      <c r="AA37" s="205" t="e">
        <f>1/AB36</f>
        <v>#DIV/0!</v>
      </c>
      <c r="AB37" s="203"/>
      <c r="AC37" s="169" t="s">
        <v>39</v>
      </c>
      <c r="AD37" s="57"/>
      <c r="AE37" s="32"/>
      <c r="AF37" s="137" t="s">
        <v>69</v>
      </c>
      <c r="AG37" s="137"/>
      <c r="AH37" s="137"/>
      <c r="AI37" s="206" t="e">
        <f>1/AJ36</f>
        <v>#DIV/0!</v>
      </c>
      <c r="AJ37" s="203"/>
      <c r="AK37" s="180" t="s">
        <v>39</v>
      </c>
      <c r="AL37" s="39"/>
      <c r="AM37" s="123"/>
      <c r="AN37" s="141" t="s">
        <v>69</v>
      </c>
      <c r="AO37" s="141"/>
      <c r="AP37" s="141"/>
      <c r="AQ37" s="207" t="e">
        <f>1/AR36</f>
        <v>#DIV/0!</v>
      </c>
      <c r="AR37" s="203"/>
      <c r="AS37" s="195" t="s">
        <v>39</v>
      </c>
      <c r="AT37" s="51"/>
    </row>
    <row r="38" spans="7:46" x14ac:dyDescent="0.2">
      <c r="G38" s="10"/>
      <c r="H38" s="129" t="s">
        <v>70</v>
      </c>
      <c r="I38" s="129"/>
      <c r="J38" s="129"/>
      <c r="K38" s="129"/>
      <c r="L38" s="132">
        <f>L35/(EXP(-K37*48))</f>
        <v>9.5330541157939575</v>
      </c>
      <c r="M38" s="129" t="s">
        <v>127</v>
      </c>
      <c r="N38" s="95"/>
      <c r="O38" s="16"/>
      <c r="P38" s="15" t="s">
        <v>70</v>
      </c>
      <c r="Q38" s="15"/>
      <c r="R38" s="134"/>
      <c r="S38" s="134"/>
      <c r="T38" s="80" t="e">
        <f>T35/EXP(-S37*48)</f>
        <v>#DIV/0!</v>
      </c>
      <c r="U38" s="15" t="s">
        <v>127</v>
      </c>
      <c r="V38" s="103"/>
      <c r="W38" s="111"/>
      <c r="X38" s="133" t="s">
        <v>70</v>
      </c>
      <c r="Y38" s="133"/>
      <c r="Z38" s="133"/>
      <c r="AA38" s="133"/>
      <c r="AB38" s="81" t="e">
        <f>AB35/EXP(-AA37*48)</f>
        <v>#DIV/0!</v>
      </c>
      <c r="AC38" s="133" t="s">
        <v>127</v>
      </c>
      <c r="AD38" s="57"/>
      <c r="AE38" s="32"/>
      <c r="AF38" s="137" t="s">
        <v>70</v>
      </c>
      <c r="AG38" s="137"/>
      <c r="AH38" s="137"/>
      <c r="AI38" s="137"/>
      <c r="AJ38" s="82" t="e">
        <f>AJ35/EXP(-AI37*48)</f>
        <v>#DIV/0!</v>
      </c>
      <c r="AK38" s="137" t="s">
        <v>127</v>
      </c>
      <c r="AL38" s="39"/>
      <c r="AM38" s="123"/>
      <c r="AN38" s="141" t="s">
        <v>70</v>
      </c>
      <c r="AO38" s="141"/>
      <c r="AP38" s="141"/>
      <c r="AQ38" s="141"/>
      <c r="AR38" s="83" t="e">
        <f>AR35/EXP(-AQ37*48)</f>
        <v>#DIV/0!</v>
      </c>
      <c r="AS38" s="141" t="s">
        <v>127</v>
      </c>
      <c r="AT38" s="51"/>
    </row>
    <row r="39" spans="7:46" x14ac:dyDescent="0.2">
      <c r="G39" s="28"/>
      <c r="H39" s="29"/>
      <c r="I39" s="29"/>
      <c r="J39" s="29"/>
      <c r="K39" s="29"/>
      <c r="L39" s="29"/>
      <c r="M39" s="29"/>
      <c r="N39" s="98"/>
      <c r="O39" s="107"/>
      <c r="P39" s="17"/>
      <c r="Q39" s="17"/>
      <c r="R39" s="108"/>
      <c r="S39" s="108"/>
      <c r="T39" s="108"/>
      <c r="U39" s="17"/>
      <c r="V39" s="104"/>
      <c r="W39" s="114"/>
      <c r="X39" s="53"/>
      <c r="Y39" s="53"/>
      <c r="Z39" s="53"/>
      <c r="AA39" s="53"/>
      <c r="AB39" s="53"/>
      <c r="AC39" s="53"/>
      <c r="AD39" s="115"/>
      <c r="AE39" s="120"/>
      <c r="AF39" s="33"/>
      <c r="AG39" s="33"/>
      <c r="AH39" s="33"/>
      <c r="AI39" s="33"/>
      <c r="AJ39" s="33"/>
      <c r="AK39" s="33"/>
      <c r="AL39" s="117"/>
      <c r="AM39" s="127"/>
      <c r="AN39" s="45"/>
      <c r="AO39" s="45"/>
      <c r="AP39" s="45"/>
      <c r="AQ39" s="45"/>
      <c r="AR39" s="45"/>
      <c r="AS39" s="45"/>
      <c r="AT39" s="124"/>
    </row>
    <row r="41" spans="7:46" x14ac:dyDescent="0.2">
      <c r="G41" s="65" t="s">
        <v>83</v>
      </c>
    </row>
    <row r="42" spans="7:46" x14ac:dyDescent="0.2">
      <c r="G42" s="128" t="s">
        <v>109</v>
      </c>
    </row>
    <row r="43" spans="7:46" x14ac:dyDescent="0.2">
      <c r="G43" s="128" t="s">
        <v>107</v>
      </c>
      <c r="H43" s="67"/>
    </row>
    <row r="44" spans="7:46" x14ac:dyDescent="0.2">
      <c r="G44" s="128" t="s">
        <v>108</v>
      </c>
      <c r="H44" s="67"/>
    </row>
    <row r="45" spans="7:46" x14ac:dyDescent="0.2">
      <c r="G45" s="128"/>
      <c r="H45" s="67"/>
    </row>
    <row r="46" spans="7:46" x14ac:dyDescent="0.2">
      <c r="G46" s="1" t="s">
        <v>84</v>
      </c>
      <c r="H46" s="67"/>
    </row>
    <row r="47" spans="7:46" x14ac:dyDescent="0.2">
      <c r="G47" s="1" t="s">
        <v>124</v>
      </c>
    </row>
    <row r="48" spans="7:46" x14ac:dyDescent="0.2">
      <c r="G48" s="1" t="s">
        <v>85</v>
      </c>
    </row>
    <row r="49" spans="1:7" x14ac:dyDescent="0.2">
      <c r="G49" s="1" t="s">
        <v>98</v>
      </c>
    </row>
    <row r="50" spans="1:7" x14ac:dyDescent="0.2">
      <c r="G50" s="1" t="s">
        <v>99</v>
      </c>
    </row>
    <row r="51" spans="1:7" x14ac:dyDescent="0.2">
      <c r="G51" s="1" t="s">
        <v>110</v>
      </c>
    </row>
    <row r="52" spans="1:7" x14ac:dyDescent="0.2">
      <c r="G52" s="62" t="s">
        <v>25</v>
      </c>
    </row>
    <row r="53" spans="1:7" x14ac:dyDescent="0.2">
      <c r="G53" s="40" t="s">
        <v>123</v>
      </c>
    </row>
    <row r="54" spans="1:7" x14ac:dyDescent="0.2">
      <c r="G54" s="40" t="s">
        <v>100</v>
      </c>
    </row>
    <row r="55" spans="1:7" x14ac:dyDescent="0.2">
      <c r="G55" s="40" t="s">
        <v>101</v>
      </c>
    </row>
    <row r="56" spans="1:7" x14ac:dyDescent="0.2">
      <c r="G56" s="40" t="s">
        <v>120</v>
      </c>
    </row>
    <row r="57" spans="1:7" x14ac:dyDescent="0.2">
      <c r="A57" s="62"/>
      <c r="B57" s="40"/>
      <c r="C57" s="40"/>
      <c r="D57" s="40"/>
      <c r="E57" s="40"/>
      <c r="F57" s="40"/>
    </row>
    <row r="58" spans="1:7" x14ac:dyDescent="0.2">
      <c r="A58" s="62"/>
      <c r="B58" s="40"/>
      <c r="D58" s="40"/>
    </row>
    <row r="60" spans="1:7" x14ac:dyDescent="0.2">
      <c r="A60" s="40"/>
      <c r="C60" s="61"/>
      <c r="D60" s="40"/>
    </row>
    <row r="62" spans="1:7" x14ac:dyDescent="0.2">
      <c r="A62" s="40"/>
      <c r="E62" s="4"/>
    </row>
    <row r="63" spans="1:7" x14ac:dyDescent="0.2">
      <c r="A63" s="40"/>
      <c r="E63" s="4"/>
    </row>
    <row r="64" spans="1:7" x14ac:dyDescent="0.2">
      <c r="A64" s="40"/>
      <c r="E64" s="4"/>
    </row>
    <row r="65" spans="1:5" x14ac:dyDescent="0.2">
      <c r="A65" s="40"/>
      <c r="E65" s="4"/>
    </row>
    <row r="66" spans="1:5" x14ac:dyDescent="0.2">
      <c r="A66" s="40"/>
    </row>
    <row r="67" spans="1:5" x14ac:dyDescent="0.2">
      <c r="A67" s="40"/>
    </row>
    <row r="69" spans="1:5" x14ac:dyDescent="0.2">
      <c r="E69" s="40"/>
    </row>
    <row r="71" spans="1:5" x14ac:dyDescent="0.2">
      <c r="B71" s="40"/>
    </row>
    <row r="72" spans="1:5" x14ac:dyDescent="0.2">
      <c r="B72" s="40"/>
    </row>
    <row r="73" spans="1:5" x14ac:dyDescent="0.2">
      <c r="A73" s="40"/>
      <c r="B73" s="40"/>
    </row>
    <row r="74" spans="1:5" x14ac:dyDescent="0.2">
      <c r="A74" s="41"/>
      <c r="B74" s="42"/>
    </row>
    <row r="81" spans="1:4" x14ac:dyDescent="0.2">
      <c r="A81" s="65"/>
    </row>
    <row r="82" spans="1:4" x14ac:dyDescent="0.2">
      <c r="C82" s="20"/>
    </row>
    <row r="83" spans="1:4" x14ac:dyDescent="0.2">
      <c r="A83" s="5"/>
      <c r="C83" s="4"/>
      <c r="D83" s="5"/>
    </row>
    <row r="84" spans="1:4" x14ac:dyDescent="0.2">
      <c r="C84" s="4"/>
    </row>
    <row r="85" spans="1:4" x14ac:dyDescent="0.2">
      <c r="C85" s="4"/>
    </row>
    <row r="86" spans="1:4" x14ac:dyDescent="0.2">
      <c r="C86" s="4"/>
    </row>
    <row r="87" spans="1:4" x14ac:dyDescent="0.2">
      <c r="C87" s="18"/>
    </row>
    <row r="88" spans="1:4" x14ac:dyDescent="0.2">
      <c r="A88" s="65"/>
    </row>
    <row r="89" spans="1:4" x14ac:dyDescent="0.2">
      <c r="C89" s="68"/>
    </row>
    <row r="90" spans="1:4" x14ac:dyDescent="0.2">
      <c r="C90" s="22"/>
    </row>
    <row r="91" spans="1:4" x14ac:dyDescent="0.2">
      <c r="C91" s="22"/>
    </row>
    <row r="92" spans="1:4" x14ac:dyDescent="0.2">
      <c r="C92" s="22"/>
    </row>
    <row r="93" spans="1:4" x14ac:dyDescent="0.2">
      <c r="C93" s="22"/>
    </row>
    <row r="94" spans="1:4" x14ac:dyDescent="0.2">
      <c r="C94" s="18"/>
    </row>
    <row r="95" spans="1:4" x14ac:dyDescent="0.2">
      <c r="C95" s="22"/>
    </row>
    <row r="97" spans="1:6" x14ac:dyDescent="0.2">
      <c r="A97" s="65"/>
    </row>
    <row r="98" spans="1:6" x14ac:dyDescent="0.2">
      <c r="C98" s="20"/>
      <c r="E98" s="40"/>
      <c r="F98" s="40"/>
    </row>
    <row r="99" spans="1:6" x14ac:dyDescent="0.2">
      <c r="A99" s="5"/>
      <c r="C99" s="20"/>
      <c r="E99" s="40"/>
      <c r="F99" s="40"/>
    </row>
    <row r="100" spans="1:6" x14ac:dyDescent="0.2">
      <c r="C100" s="4"/>
    </row>
    <row r="101" spans="1:6" x14ac:dyDescent="0.2">
      <c r="C101" s="4"/>
    </row>
    <row r="102" spans="1:6" x14ac:dyDescent="0.2">
      <c r="C102" s="4"/>
    </row>
    <row r="103" spans="1:6" x14ac:dyDescent="0.2">
      <c r="C103" s="18"/>
    </row>
    <row r="104" spans="1:6" x14ac:dyDescent="0.2">
      <c r="A104" s="65"/>
      <c r="E104" s="40"/>
      <c r="F104" s="40"/>
    </row>
    <row r="105" spans="1:6" x14ac:dyDescent="0.2">
      <c r="C105" s="68"/>
      <c r="E105" s="40"/>
      <c r="F105" s="40"/>
    </row>
    <row r="106" spans="1:6" x14ac:dyDescent="0.2">
      <c r="C106" s="22"/>
      <c r="E106" s="40"/>
      <c r="F106" s="40"/>
    </row>
    <row r="107" spans="1:6" x14ac:dyDescent="0.2">
      <c r="C107" s="22"/>
      <c r="E107" s="40"/>
      <c r="F107" s="40"/>
    </row>
    <row r="108" spans="1:6" x14ac:dyDescent="0.2">
      <c r="C108" s="22"/>
      <c r="E108" s="61"/>
      <c r="F108" s="40"/>
    </row>
    <row r="109" spans="1:6" x14ac:dyDescent="0.2">
      <c r="C109" s="22"/>
    </row>
    <row r="110" spans="1:6" x14ac:dyDescent="0.2">
      <c r="C110" s="18"/>
    </row>
    <row r="111" spans="1:6" x14ac:dyDescent="0.2">
      <c r="C111" s="22"/>
    </row>
    <row r="114" spans="1:6" x14ac:dyDescent="0.2">
      <c r="A114" s="65"/>
    </row>
    <row r="115" spans="1:6" x14ac:dyDescent="0.2">
      <c r="C115" s="21"/>
      <c r="E115" s="40"/>
      <c r="F115" s="40"/>
    </row>
    <row r="116" spans="1:6" x14ac:dyDescent="0.2">
      <c r="A116" s="5"/>
      <c r="C116" s="4"/>
      <c r="E116" s="40"/>
      <c r="F116" s="40"/>
    </row>
    <row r="117" spans="1:6" x14ac:dyDescent="0.2">
      <c r="C117" s="4"/>
      <c r="E117" s="40"/>
      <c r="F117" s="40"/>
    </row>
    <row r="118" spans="1:6" x14ac:dyDescent="0.2">
      <c r="C118" s="4"/>
      <c r="E118" s="43"/>
      <c r="F118" s="40"/>
    </row>
    <row r="119" spans="1:6" x14ac:dyDescent="0.2">
      <c r="C119" s="4"/>
      <c r="E119" s="40"/>
      <c r="F119" s="61"/>
    </row>
    <row r="120" spans="1:6" x14ac:dyDescent="0.2">
      <c r="C120" s="18"/>
    </row>
    <row r="121" spans="1:6" x14ac:dyDescent="0.2">
      <c r="A121" s="65"/>
    </row>
    <row r="122" spans="1:6" x14ac:dyDescent="0.2">
      <c r="C122" s="68"/>
    </row>
    <row r="123" spans="1:6" x14ac:dyDescent="0.2">
      <c r="C123" s="22"/>
    </row>
    <row r="124" spans="1:6" x14ac:dyDescent="0.2">
      <c r="C124" s="22"/>
      <c r="E124" s="21"/>
    </row>
    <row r="125" spans="1:6" x14ac:dyDescent="0.2">
      <c r="C125" s="22"/>
    </row>
    <row r="126" spans="1:6" x14ac:dyDescent="0.2">
      <c r="C126" s="22"/>
    </row>
    <row r="127" spans="1:6" x14ac:dyDescent="0.2">
      <c r="C127" s="18"/>
      <c r="E127" s="21"/>
    </row>
    <row r="128" spans="1:6" x14ac:dyDescent="0.2">
      <c r="C128" s="22"/>
    </row>
    <row r="130" spans="1:14" x14ac:dyDescent="0.2">
      <c r="A130" s="65"/>
    </row>
    <row r="131" spans="1:14" x14ac:dyDescent="0.2">
      <c r="C131" s="21"/>
      <c r="E131" s="40"/>
      <c r="F131" s="40"/>
    </row>
    <row r="132" spans="1:14" x14ac:dyDescent="0.2">
      <c r="A132" s="5"/>
      <c r="C132" s="4"/>
      <c r="E132" s="40"/>
      <c r="F132" s="40"/>
    </row>
    <row r="133" spans="1:14" x14ac:dyDescent="0.2">
      <c r="C133" s="4"/>
      <c r="E133" s="40"/>
      <c r="F133" s="40"/>
    </row>
    <row r="134" spans="1:14" x14ac:dyDescent="0.2">
      <c r="C134" s="4"/>
      <c r="E134" s="43"/>
      <c r="F134" s="40"/>
    </row>
    <row r="135" spans="1:14" x14ac:dyDescent="0.2">
      <c r="C135" s="4"/>
      <c r="E135" s="40"/>
      <c r="F135" s="61"/>
    </row>
    <row r="136" spans="1:14" x14ac:dyDescent="0.2">
      <c r="C136" s="18"/>
      <c r="E136" s="40"/>
      <c r="F136" s="61"/>
    </row>
    <row r="137" spans="1:14" x14ac:dyDescent="0.2">
      <c r="A137" s="65"/>
      <c r="E137" s="40"/>
      <c r="F137" s="61"/>
    </row>
    <row r="138" spans="1:14" x14ac:dyDescent="0.2">
      <c r="C138" s="68"/>
    </row>
    <row r="139" spans="1:14" x14ac:dyDescent="0.2">
      <c r="C139" s="22"/>
    </row>
    <row r="140" spans="1:14" x14ac:dyDescent="0.2">
      <c r="C140" s="22"/>
      <c r="E140" s="21"/>
    </row>
    <row r="141" spans="1:14" x14ac:dyDescent="0.2">
      <c r="C141" s="22"/>
      <c r="K141" s="5"/>
    </row>
    <row r="142" spans="1:14" x14ac:dyDescent="0.2">
      <c r="C142" s="22"/>
      <c r="I142" s="63"/>
      <c r="J142" s="4"/>
      <c r="K142" s="71"/>
      <c r="L142" s="60"/>
      <c r="M142" s="60"/>
      <c r="N142" s="60"/>
    </row>
    <row r="143" spans="1:14" x14ac:dyDescent="0.2">
      <c r="C143" s="18"/>
      <c r="E143" s="21"/>
      <c r="G143" s="40"/>
      <c r="I143" s="4"/>
      <c r="J143" s="21"/>
      <c r="K143" s="21"/>
      <c r="L143" s="21"/>
      <c r="M143" s="21"/>
      <c r="N143" s="21"/>
    </row>
    <row r="144" spans="1:14" x14ac:dyDescent="0.2">
      <c r="C144" s="22"/>
      <c r="G144" s="40"/>
      <c r="I144" s="4"/>
      <c r="J144" s="21"/>
      <c r="K144" s="21"/>
      <c r="L144" s="21"/>
      <c r="M144" s="21"/>
      <c r="N144" s="21"/>
    </row>
    <row r="145" spans="1:14" x14ac:dyDescent="0.2">
      <c r="G145" s="40"/>
      <c r="I145" s="4"/>
      <c r="J145" s="21"/>
      <c r="K145" s="21"/>
      <c r="L145" s="21"/>
      <c r="M145" s="21"/>
      <c r="N145" s="21"/>
    </row>
    <row r="146" spans="1:14" x14ac:dyDescent="0.2">
      <c r="A146" s="65"/>
      <c r="G146" s="66"/>
      <c r="H146" s="4"/>
      <c r="I146" s="4"/>
      <c r="J146" s="4"/>
      <c r="K146" s="4"/>
      <c r="L146" s="21"/>
      <c r="M146" s="21"/>
      <c r="N146" s="21"/>
    </row>
    <row r="147" spans="1:14" x14ac:dyDescent="0.2">
      <c r="C147" s="21"/>
      <c r="E147" s="40"/>
      <c r="F147" s="40"/>
      <c r="G147" s="40"/>
      <c r="I147" s="4"/>
      <c r="J147" s="4"/>
      <c r="K147" s="4"/>
      <c r="L147" s="4"/>
      <c r="M147" s="4"/>
      <c r="N147" s="4"/>
    </row>
    <row r="148" spans="1:14" x14ac:dyDescent="0.2">
      <c r="A148" s="5"/>
      <c r="C148" s="4"/>
      <c r="E148" s="40"/>
      <c r="F148" s="40"/>
      <c r="G148" s="40"/>
      <c r="I148" s="4"/>
      <c r="J148" s="21"/>
      <c r="K148" s="21"/>
      <c r="L148" s="21"/>
      <c r="M148" s="21"/>
      <c r="N148" s="21"/>
    </row>
    <row r="149" spans="1:14" x14ac:dyDescent="0.2">
      <c r="C149" s="4"/>
      <c r="E149" s="40"/>
      <c r="F149" s="40"/>
      <c r="G149" s="40"/>
      <c r="I149" s="4"/>
      <c r="J149" s="4"/>
      <c r="K149" s="4"/>
      <c r="L149" s="4"/>
      <c r="M149" s="4"/>
      <c r="N149" s="4"/>
    </row>
    <row r="150" spans="1:14" x14ac:dyDescent="0.2">
      <c r="C150" s="4"/>
      <c r="E150" s="43"/>
      <c r="F150" s="40"/>
      <c r="I150" s="4"/>
      <c r="J150" s="21"/>
      <c r="K150" s="21"/>
      <c r="L150" s="21"/>
      <c r="M150" s="21"/>
      <c r="N150" s="21"/>
    </row>
    <row r="151" spans="1:14" x14ac:dyDescent="0.2">
      <c r="C151" s="4"/>
      <c r="E151" s="40"/>
      <c r="F151" s="61"/>
      <c r="I151" s="4"/>
    </row>
    <row r="152" spans="1:14" x14ac:dyDescent="0.2">
      <c r="C152" s="18"/>
      <c r="E152" s="40"/>
      <c r="F152" s="61"/>
      <c r="I152" s="4"/>
    </row>
    <row r="153" spans="1:14" x14ac:dyDescent="0.2">
      <c r="A153" s="65"/>
      <c r="E153" s="40"/>
      <c r="F153" s="61"/>
      <c r="I153" s="63"/>
      <c r="J153" s="4"/>
      <c r="K153" s="71"/>
      <c r="L153" s="60"/>
      <c r="M153" s="60"/>
      <c r="N153" s="60"/>
    </row>
    <row r="154" spans="1:14" x14ac:dyDescent="0.2">
      <c r="C154" s="68"/>
      <c r="E154" s="40"/>
      <c r="F154" s="61"/>
      <c r="G154" s="40"/>
      <c r="I154" s="4"/>
      <c r="J154" s="21"/>
      <c r="K154" s="21"/>
      <c r="L154" s="21"/>
      <c r="M154" s="21"/>
      <c r="N154" s="21"/>
    </row>
    <row r="155" spans="1:14" x14ac:dyDescent="0.2">
      <c r="C155" s="22"/>
      <c r="G155" s="40"/>
      <c r="I155" s="4"/>
      <c r="J155" s="21"/>
      <c r="K155" s="21"/>
      <c r="L155" s="21"/>
      <c r="M155" s="21"/>
      <c r="N155" s="21"/>
    </row>
    <row r="156" spans="1:14" x14ac:dyDescent="0.2">
      <c r="C156" s="22"/>
      <c r="E156" s="21"/>
      <c r="G156" s="40"/>
      <c r="I156" s="4"/>
      <c r="J156" s="21"/>
      <c r="K156" s="21"/>
      <c r="L156" s="21"/>
      <c r="M156" s="21"/>
      <c r="N156" s="21"/>
    </row>
    <row r="157" spans="1:14" x14ac:dyDescent="0.2">
      <c r="C157" s="22"/>
      <c r="G157" s="66"/>
      <c r="I157" s="4"/>
      <c r="J157" s="4"/>
      <c r="K157" s="4"/>
      <c r="L157" s="21"/>
      <c r="M157" s="21"/>
      <c r="N157" s="21"/>
    </row>
    <row r="158" spans="1:14" x14ac:dyDescent="0.2">
      <c r="C158" s="22"/>
      <c r="G158" s="40"/>
      <c r="I158" s="4"/>
      <c r="J158" s="4"/>
      <c r="K158" s="4"/>
      <c r="L158" s="4"/>
      <c r="M158" s="4"/>
      <c r="N158" s="4"/>
    </row>
    <row r="159" spans="1:14" x14ac:dyDescent="0.2">
      <c r="C159" s="18"/>
      <c r="G159" s="40"/>
      <c r="I159" s="4"/>
      <c r="J159" s="21"/>
      <c r="K159" s="21"/>
      <c r="L159" s="21"/>
      <c r="M159" s="21"/>
      <c r="N159" s="21"/>
    </row>
    <row r="160" spans="1:14" x14ac:dyDescent="0.2">
      <c r="C160" s="22"/>
      <c r="G160" s="40"/>
      <c r="I160" s="4"/>
      <c r="J160" s="4"/>
      <c r="K160" s="4"/>
      <c r="L160" s="4"/>
      <c r="M160" s="4"/>
      <c r="N160" s="4"/>
    </row>
    <row r="161" spans="7:14" x14ac:dyDescent="0.2">
      <c r="G161" s="40"/>
      <c r="I161" s="4"/>
      <c r="J161" s="4"/>
      <c r="K161" s="4"/>
      <c r="L161" s="4"/>
      <c r="M161" s="4"/>
      <c r="N161" s="4"/>
    </row>
    <row r="162" spans="7:14" x14ac:dyDescent="0.2">
      <c r="I162" s="4"/>
      <c r="J162" s="21"/>
      <c r="K162" s="21"/>
      <c r="L162" s="21"/>
      <c r="M162" s="21"/>
      <c r="N162" s="21"/>
    </row>
    <row r="164" spans="7:14" x14ac:dyDescent="0.2">
      <c r="J164" s="21"/>
      <c r="L164" s="21"/>
      <c r="M164" s="21"/>
      <c r="N164" s="21"/>
    </row>
    <row r="165" spans="7:14" x14ac:dyDescent="0.2">
      <c r="J165" s="21"/>
    </row>
    <row r="167" spans="7:14" x14ac:dyDescent="0.2">
      <c r="G167" s="40"/>
      <c r="K167" s="5"/>
    </row>
    <row r="168" spans="7:14" x14ac:dyDescent="0.2">
      <c r="J168" s="4"/>
      <c r="K168" s="71"/>
      <c r="L168" s="60"/>
      <c r="M168" s="60"/>
      <c r="N168" s="60"/>
    </row>
    <row r="169" spans="7:14" x14ac:dyDescent="0.2">
      <c r="J169" s="4"/>
      <c r="K169" s="4"/>
      <c r="L169" s="4"/>
      <c r="M169" s="4"/>
      <c r="N169" s="4"/>
    </row>
    <row r="170" spans="7:14" x14ac:dyDescent="0.2">
      <c r="J170" s="21"/>
      <c r="K170" s="21"/>
      <c r="L170" s="21"/>
      <c r="M170" s="21"/>
      <c r="N170" s="21"/>
    </row>
    <row r="173" spans="7:14" x14ac:dyDescent="0.2">
      <c r="J173" s="4"/>
      <c r="K173" s="71"/>
      <c r="L173" s="60"/>
      <c r="M173" s="60"/>
      <c r="N173" s="60"/>
    </row>
    <row r="174" spans="7:14" x14ac:dyDescent="0.2">
      <c r="J174" s="4"/>
      <c r="K174" s="4"/>
      <c r="L174" s="4"/>
      <c r="M174" s="4"/>
      <c r="N174" s="4"/>
    </row>
    <row r="175" spans="7:14" x14ac:dyDescent="0.2">
      <c r="J175" s="21"/>
      <c r="K175" s="21"/>
      <c r="L175" s="21"/>
      <c r="M175" s="21"/>
      <c r="N175" s="21"/>
    </row>
    <row r="176" spans="7:14" x14ac:dyDescent="0.2">
      <c r="J176" s="21"/>
    </row>
    <row r="178" spans="7:12" x14ac:dyDescent="0.2">
      <c r="I178" s="63"/>
      <c r="J178" s="4"/>
      <c r="K178" s="4"/>
      <c r="L178" s="4"/>
    </row>
    <row r="179" spans="7:12" x14ac:dyDescent="0.2">
      <c r="G179" s="40"/>
      <c r="I179" s="4"/>
      <c r="J179" s="4"/>
      <c r="K179" s="4"/>
      <c r="L179" s="4"/>
    </row>
    <row r="180" spans="7:12" x14ac:dyDescent="0.2">
      <c r="G180" s="40"/>
      <c r="I180" s="4"/>
      <c r="J180" s="4"/>
      <c r="K180" s="4"/>
      <c r="L180" s="4"/>
    </row>
    <row r="181" spans="7:12" x14ac:dyDescent="0.2">
      <c r="G181" s="40"/>
      <c r="I181" s="4"/>
      <c r="J181" s="4"/>
      <c r="K181" s="4"/>
      <c r="L181" s="4"/>
    </row>
    <row r="182" spans="7:12" x14ac:dyDescent="0.2">
      <c r="I182" s="4"/>
      <c r="J182" s="21"/>
      <c r="K182" s="21"/>
      <c r="L182" s="21"/>
    </row>
  </sheetData>
  <mergeCells count="21">
    <mergeCell ref="C5:D5"/>
    <mergeCell ref="E5:F5"/>
    <mergeCell ref="C6:D6"/>
    <mergeCell ref="C7:D7"/>
    <mergeCell ref="E6:F6"/>
    <mergeCell ref="E7:F7"/>
    <mergeCell ref="AQ33:AR33"/>
    <mergeCell ref="I19:J19"/>
    <mergeCell ref="Q19:R19"/>
    <mergeCell ref="Y19:Z19"/>
    <mergeCell ref="S33:T33"/>
    <mergeCell ref="AG19:AH19"/>
    <mergeCell ref="AO19:AP19"/>
    <mergeCell ref="AA33:AB33"/>
    <mergeCell ref="AI33:AJ33"/>
    <mergeCell ref="K33:L33"/>
    <mergeCell ref="K37:L37"/>
    <mergeCell ref="S37:T37"/>
    <mergeCell ref="AA37:AB37"/>
    <mergeCell ref="AI37:AJ37"/>
    <mergeCell ref="AQ37:AR37"/>
  </mergeCells>
  <dataValidations count="3">
    <dataValidation type="list" allowBlank="1" showInputMessage="1" showErrorMessage="1" sqref="H5 X5 AF5 AN5 P5" xr:uid="{E857D6BC-BAD2-1846-B873-A1990BA9DB51}">
      <formula1>"rhTSH,Thyroid Hormone Withdrawal,Combined THW and rhTSH"</formula1>
    </dataValidation>
    <dataValidation type="list" allowBlank="1" showInputMessage="1" showErrorMessage="1" sqref="C13" xr:uid="{EEA0DF70-7F79-BE40-8116-47D69E2B0B14}">
      <formula1>"Second,Third,Fourth,Fifth,Sixth"</formula1>
    </dataValidation>
    <dataValidation type="list" showInputMessage="1" showErrorMessage="1" sqref="E7:F7" xr:uid="{9C011722-DFC2-E747-AA3F-C02292CE7389}">
      <formula1>"Female,Male"</formula1>
    </dataValidation>
  </dataValidations>
  <pageMargins left="0.7" right="0.7" top="0.75" bottom="0.75" header="0.3" footer="0.3"/>
  <pageSetup paperSize="9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Theranostics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cp:lastPrinted>2023-10-04T11:41:37Z</cp:lastPrinted>
  <dcterms:created xsi:type="dcterms:W3CDTF">2020-08-17T01:15:05Z</dcterms:created>
  <dcterms:modified xsi:type="dcterms:W3CDTF">2023-10-04T11:44:29Z</dcterms:modified>
</cp:coreProperties>
</file>